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comments12.xml" ContentType="application/vnd.openxmlformats-officedocument.spreadsheetml.comments+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harts/style1.xml" ContentType="application/vnd.ms-office.chartstyle+xml"/>
  <Override PartName="/xl/charts/colors1.xml" ContentType="application/vnd.ms-office.chartcolorstyle+xml"/>
  <Override PartName="/xl/charts/style4.xml" ContentType="application/vnd.ms-office.chart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ml.chartshapes+xml"/>
  <Override PartName="/xl/drawings/drawing4.xml" ContentType="application/vnd.openxmlformats-officedocument.drawingml.chartshapes+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codeName="{4470D2CD-2249-CD33-4A35-6F278624656F}"/>
  <workbookPr codeName="ThisWorkbook" defaultThemeVersion="166925"/>
  <bookViews>
    <workbookView xWindow="65426" yWindow="65426" windowWidth="19420" windowHeight="10420" tabRatio="866" activeTab="0"/>
  </bookViews>
  <sheets>
    <sheet name="Instructions" sheetId="2" r:id="rId1"/>
    <sheet name="Energy Data Entry" sheetId="3" r:id="rId2"/>
    <sheet name="Process Data Entry" sheetId="1" r:id="rId3"/>
    <sheet name="Flow-based Summary" sheetId="16" r:id="rId4"/>
    <sheet name="Flow Efficiency" sheetId="10" r:id="rId5"/>
    <sheet name="BOD-based Summary" sheetId="18" r:id="rId6"/>
    <sheet name="BOD Efficiency" sheetId="11" r:id="rId7"/>
    <sheet name="Nutrient Removal Summary" sheetId="21" r:id="rId8"/>
    <sheet name="TP removal" sheetId="14" r:id="rId9"/>
    <sheet name="TN removal" sheetId="12" r:id="rId10"/>
    <sheet name="Calculation Notes" sheetId="7" state="hidden" r:id="rId11"/>
    <sheet name="Background Calculations" sheetId="4" r:id="rId12"/>
    <sheet name="Other Charts" sheetId="22" r:id="rId13"/>
  </sheets>
  <definedNames>
    <definedName name="CurrentMonths" localSheetId="5">OFFSET(#REF!,COUNTA(#REF!)-9,0,#REF!)</definedName>
    <definedName name="CurrentMonths" localSheetId="7">OFFSET(#REF!,COUNTA(#REF!)-9,0,#REF!)</definedName>
    <definedName name="CurrentMonths">OFFSET(#REF!,COUNTA(#REF!)-9,0,#REF!)</definedName>
    <definedName name="CurrentSales" localSheetId="5">OFFSET(#REF!,COUNTA(#REF!)-9,0,#REF!)</definedName>
    <definedName name="CurrentSales" localSheetId="7">OFFSET(#REF!,COUNTA(#REF!)-9,0,#REF!)</definedName>
    <definedName name="CurrentSales">OFFSET(#REF!,COUNTA(#REF!)-9,0,#REF!)</definedName>
    <definedName name="EnergyCostsM" localSheetId="5">OFFSET(#REF!,COUNTA(#REF!)-84,0,#REF!)</definedName>
    <definedName name="EnergyCostsM" localSheetId="7">OFFSET(#REF!,COUNTA(#REF!)-84,0,#REF!)</definedName>
    <definedName name="EnergyCostsM">OFFSET(#REF!,COUNTA(#REF!)-84,0,#REF!)</definedName>
    <definedName name="EnergyCostsM2" localSheetId="5">OFFSET(#REF!,COUNTA(#REF!)-84,0,#REF!)</definedName>
    <definedName name="EnergyCostsM2" localSheetId="7">OFFSET(#REF!,COUNTA(#REF!)-84,0,#REF!)</definedName>
    <definedName name="EnergyCostsM2">OFFSET(#REF!,COUNTA(#REF!)-84,0,#REF!)</definedName>
    <definedName name="EnergyCostsY" localSheetId="5">OFFSET(#REF!,COUNTA(#REF!)-7,0,#REF!)</definedName>
    <definedName name="EnergyCostsY" localSheetId="7">OFFSET(#REF!,COUNTA(#REF!)-7,0,#REF!)</definedName>
    <definedName name="EnergyCostsY">OFFSET(#REF!,COUNTA(#REF!)-7,0,#REF!)</definedName>
    <definedName name="EnergyCostsY2" localSheetId="5">OFFSET(#REF!,COUNTA(#REF!)-7,0,#REF!)</definedName>
    <definedName name="EnergyCostsY2" localSheetId="7">OFFSET(#REF!,COUNTA(#REF!)-7,0,#REF!)</definedName>
    <definedName name="EnergyCostsY2">OFFSET(#REF!,COUNTA(#REF!)-7,0,#REF!)</definedName>
    <definedName name="EnergyUse" localSheetId="5">OFFSET(#REF!,COUNTA(#REF!)-84,0,#REF!)</definedName>
    <definedName name="EnergyUse" localSheetId="7">OFFSET(#REF!,COUNTA(#REF!)-84,0,#REF!)</definedName>
    <definedName name="EnergyUse">OFFSET(#REF!,COUNTA(#REF!)-84,0,#REF!)</definedName>
    <definedName name="EnergyUseWT" localSheetId="5">OFFSET(#REF!,COUNTA(#REF!)-84,0,#REF!)</definedName>
    <definedName name="EnergyUseWT" localSheetId="7">OFFSET(#REF!,COUNTA(#REF!)-84,0,#REF!)</definedName>
    <definedName name="EnergyUseWT">OFFSET(#REF!,COUNTA(#REF!)-84,0,#REF!)</definedName>
    <definedName name="EnergyUseWTY" localSheetId="5">OFFSET(#REF!,COUNTA(#REF!)-7,0,#REF!)</definedName>
    <definedName name="EnergyUseWTY" localSheetId="7">OFFSET(#REF!,COUNTA(#REF!)-7,0,#REF!)</definedName>
    <definedName name="EnergyUseWTY">OFFSET(#REF!,COUNTA(#REF!)-7,0,#REF!)</definedName>
    <definedName name="EnergyUseY" localSheetId="5">OFFSET(#REF!,COUNTA(#REF!)-7,0,#REF!)</definedName>
    <definedName name="EnergyUseY" localSheetId="7">OFFSET(#REF!,COUNTA(#REF!)-7,0,#REF!)</definedName>
    <definedName name="EnergyUseY">OFFSET(#REF!,COUNTA(#REF!)-7,0,#REF!)</definedName>
    <definedName name="f" localSheetId="7">OFFSET(#REF!,COUNTA(#REF!)-84,0,#REF!)</definedName>
    <definedName name="f">OFFSET(#REF!,COUNTA(#REF!)-84,0,#REF!)</definedName>
    <definedName name="Months" localSheetId="5">OFFSET(#REF!,COUNTA(#REF!)-84,0,#REF!)</definedName>
    <definedName name="Months" localSheetId="7">OFFSET(#REF!,COUNTA(#REF!)-84,0,#REF!)</definedName>
    <definedName name="Months">OFFSET(#REF!,COUNTA(#REF!)-84,0,#REF!)</definedName>
    <definedName name="Months2" localSheetId="5">OFFSET(#REF!,COUNTA(#REF!)-84,0,#REF!)</definedName>
    <definedName name="Months2" localSheetId="7">OFFSET(#REF!,COUNTA(#REF!)-84,0,#REF!)</definedName>
    <definedName name="Months2">OFFSET(#REF!,COUNTA(#REF!)-84,0,#REF!)</definedName>
    <definedName name="Months3" localSheetId="5">OFFSET(#REF!,COUNTA(#REF!)-84,0,#REF!)</definedName>
    <definedName name="Months3" localSheetId="7">OFFSET(#REF!,COUNTA(#REF!)-84,0,#REF!)</definedName>
    <definedName name="Months3">OFFSET(#REF!,COUNTA(#REF!)-84,0,#REF!)</definedName>
    <definedName name="_xlnm.Print_Area" localSheetId="0">'Instructions'!$A$2:$H$41</definedName>
    <definedName name="WaterTreatedM" localSheetId="5">OFFSET(#REF!,COUNTA(#REF!)-84,0,#REF!)</definedName>
    <definedName name="WaterTreatedM" localSheetId="7">OFFSET(#REF!,COUNTA(#REF!)-84,0,#REF!)</definedName>
    <definedName name="WaterTreatedM">OFFSET(#REF!,COUNTA(#REF!)-84,0,#REF!)</definedName>
    <definedName name="WaterTreatedM2" localSheetId="5">OFFSET(#REF!,COUNTA(#REF!)-84,0,#REF!)</definedName>
    <definedName name="WaterTreatedM2" localSheetId="7">OFFSET(#REF!,COUNTA(#REF!)-84,0,#REF!)</definedName>
    <definedName name="WaterTreatedM2">OFFSET(#REF!,COUNTA(#REF!)-84,0,#REF!)</definedName>
    <definedName name="WaterTreatedY" localSheetId="5">OFFSET(#REF!,COUNTA(#REF!)-7,0,#REF!)</definedName>
    <definedName name="WaterTreatedY" localSheetId="7">OFFSET(#REF!,COUNTA(#REF!)-7,0,#REF!)</definedName>
    <definedName name="WaterTreatedY">OFFSET(#REF!,COUNTA(#REF!)-7,0,#REF!)</definedName>
    <definedName name="WaterTreatedY2" localSheetId="5">OFFSET(#REF!,COUNTA(#REF!)-7,0,#REF!)</definedName>
    <definedName name="WaterTreatedY2" localSheetId="7">OFFSET(#REF!,COUNTA(#REF!)-7,0,#REF!)</definedName>
    <definedName name="WaterTreatedY2">OFFSET(#REF!,COUNTA(#REF!)-7,0,#REF!)</definedName>
    <definedName name="Years" localSheetId="5">OFFSET(#REF!,COUNTA(#REF!)-7,0,#REF!)</definedName>
    <definedName name="Years" localSheetId="7">OFFSET(#REF!,COUNTA(#REF!)-7,0,#REF!)</definedName>
    <definedName name="Years">OFFSET(#REF!,COUNTA(#REF!)-7,0,#REF!)</definedName>
    <definedName name="Years2" localSheetId="5">OFFSET(#REF!,COUNTA(#REF!)-7,0,#REF!)</definedName>
    <definedName name="Years2" localSheetId="7">OFFSET(#REF!,COUNTA(#REF!)-7,0,#REF!)</definedName>
    <definedName name="Years2">OFFSET(#REF!,COUNTA(#REF!)-7,0,#REF!)</definedName>
    <definedName name="Years3" localSheetId="5">OFFSET(#REF!,COUNTA(#REF!)-7,0,#REF!)</definedName>
    <definedName name="Years3" localSheetId="7">OFFSET(#REF!,COUNTA(#REF!)-7,0,#REF!)</definedName>
    <definedName name="Years3">OFFSET(#REF!,COUNTA(#REF!)-7,0,#REF!)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2.xml><?xml version="1.0" encoding="utf-8"?>
<comments xmlns="http://schemas.openxmlformats.org/spreadsheetml/2006/main">
  <authors>
    <author>Held, Brendan</author>
  </authors>
  <commentList>
    <comment ref="AD3" authorId="0">
      <text>
        <r>
          <rPr>
            <sz val="9"/>
            <rFont val="Tahoma"/>
            <family val="2"/>
          </rPr>
          <t>Will show up as blank unless Influent TKN, effluent NOx and either effluent TKN or NH3 is populated.</t>
        </r>
      </text>
    </comment>
    <comment ref="AB96" authorId="0">
      <text>
        <r>
          <rPr>
            <sz val="9"/>
            <rFont val="Tahoma"/>
            <family val="2"/>
          </rPr>
          <t>Column label based on whichever has more data populated, NH3 or TKN. Reported values are determined by column label. This is the value that is shown on the Effluent N chart.</t>
        </r>
      </text>
    </comment>
    <comment ref="AD96" authorId="0">
      <text>
        <r>
          <rPr>
            <sz val="9"/>
            <rFont val="Tahoma"/>
            <family val="2"/>
          </rPr>
          <t xml:space="preserve">Only months with enough data to estimate N removal will be used to develop this estimate. Sufficient data must be entered at least quarterly.
</t>
        </r>
      </text>
    </comment>
    <comment ref="F154" authorId="0">
      <text>
        <r>
          <rPr>
            <sz val="9"/>
            <rFont val="Tahoma"/>
            <family val="2"/>
          </rPr>
          <t>Averages flow-paired monthly energy values for years 3-7, and compares to the baseline</t>
        </r>
      </text>
    </comment>
    <comment ref="G154" authorId="0">
      <text>
        <r>
          <rPr>
            <sz val="9"/>
            <rFont val="Tahoma"/>
            <family val="2"/>
          </rPr>
          <t>Sums flow-paired energy and divides by energy-matched flow for years 3-7, and compares to baseline.</t>
        </r>
      </text>
    </comment>
    <comment ref="F167" authorId="0">
      <text>
        <r>
          <rPr>
            <sz val="9"/>
            <rFont val="Tahoma"/>
            <family val="2"/>
          </rPr>
          <t>Averages BOD-paired monthly energy values for years 3-7, and compares to the baseline</t>
        </r>
      </text>
    </comment>
    <comment ref="G167" authorId="0">
      <text>
        <r>
          <rPr>
            <sz val="9"/>
            <rFont val="Tahoma"/>
            <family val="2"/>
          </rPr>
          <t>Sums BOD-paired energy and divides by energy-matched flow for years 3-7, and compares to baseline.</t>
        </r>
      </text>
    </comment>
    <comment ref="D196" authorId="0">
      <text>
        <r>
          <rPr>
            <sz val="9"/>
            <rFont val="Tahoma"/>
            <family val="2"/>
          </rPr>
          <t>Sum [avg TKN, avg NOx] for all available values (no match requirement)</t>
        </r>
      </text>
    </comment>
    <comment ref="E196" authorId="0">
      <text>
        <r>
          <rPr>
            <sz val="9"/>
            <rFont val="Tahoma"/>
            <family val="2"/>
          </rPr>
          <t>No match requirement</t>
        </r>
      </text>
    </comment>
    <comment ref="F196" authorId="0">
      <text>
        <r>
          <rPr>
            <sz val="9"/>
            <rFont val="Tahoma"/>
            <family val="2"/>
          </rPr>
          <t>No match requirement</t>
        </r>
      </text>
    </comment>
    <comment ref="G196" authorId="0">
      <text>
        <r>
          <rPr>
            <sz val="9"/>
            <rFont val="Tahoma"/>
            <family val="2"/>
          </rPr>
          <t>Displays either TKN or NH3 depending on which has more data points</t>
        </r>
      </text>
    </comment>
    <comment ref="H196" authorId="0">
      <text>
        <r>
          <rPr>
            <sz val="9"/>
            <rFont val="Tahoma"/>
            <family val="2"/>
          </rPr>
          <t>No match requirement</t>
        </r>
      </text>
    </comment>
    <comment ref="I196" authorId="0">
      <text>
        <r>
          <rPr>
            <sz val="9"/>
            <rFont val="Tahoma"/>
            <family val="2"/>
          </rPr>
          <t>Only averages months that meet match requirement (influent TKN, plus effluent NOx and either effluent TKN or NH3)</t>
        </r>
      </text>
    </comment>
    <comment ref="K196" authorId="0">
      <text>
        <r>
          <rPr>
            <sz val="9"/>
            <rFont val="Tahoma"/>
            <family val="2"/>
          </rPr>
          <t>Avg influent TN * Total Flow treated * actual % removal - baseline % removal)</t>
        </r>
      </text>
    </comment>
  </commentList>
</comments>
</file>

<file path=xl/comments3.xml><?xml version="1.0" encoding="utf-8"?>
<comments xmlns="http://schemas.openxmlformats.org/spreadsheetml/2006/main">
  <authors>
    <author>Held, Brendan</author>
  </authors>
  <commentList>
    <comment ref="F5" authorId="0">
      <text>
        <r>
          <rPr>
            <sz val="9"/>
            <rFont val="Tahoma"/>
            <family val="2"/>
          </rPr>
          <t>Calculated automatically. Unlock sheet and overwrite with DMR values if available.</t>
        </r>
      </text>
    </comment>
    <comment ref="G5" authorId="0">
      <text>
        <r>
          <rPr>
            <b/>
            <sz val="9"/>
            <rFont val="Tahoma"/>
            <family val="2"/>
          </rPr>
          <t>Recommended for process control sampling, even if not required to report.</t>
        </r>
      </text>
    </comment>
    <comment ref="I5" authorId="0">
      <text>
        <r>
          <rPr>
            <b/>
            <sz val="9"/>
            <rFont val="Tahoma"/>
            <family val="2"/>
          </rPr>
          <t>This will be near zero for most domestic plants</t>
        </r>
        <r>
          <rPr>
            <sz val="9"/>
            <rFont val="Tahoma"/>
            <family val="2"/>
          </rPr>
          <t xml:space="preserve">
</t>
        </r>
      </text>
    </comment>
  </commentList>
</comments>
</file>

<file path=xl/sharedStrings.xml><?xml version="1.0" encoding="utf-8"?>
<sst xmlns="http://schemas.openxmlformats.org/spreadsheetml/2006/main" count="344" uniqueCount="218">
  <si>
    <r>
      <rPr>
        <b/>
        <sz val="20"/>
        <color theme="1"/>
        <rFont val="Verdana"/>
        <family val="2"/>
      </rPr>
      <t>R4  Energy Assessment Tool for Water &amp; Wastewater Facilities - EPA Region 4</t>
    </r>
    <r>
      <rPr>
        <b/>
        <sz val="18"/>
        <color theme="1"/>
        <rFont val="Verdana"/>
        <family val="2"/>
      </rPr>
      <t xml:space="preserve">
</t>
    </r>
    <r>
      <rPr>
        <b/>
        <i/>
        <sz val="18"/>
        <color rgb="FFFF0000"/>
        <rFont val="Verdana"/>
        <family val="2"/>
      </rPr>
      <t>Yellow-shaded cells indicate data entry fields</t>
    </r>
  </si>
  <si>
    <t xml:space="preserve"> ENTER PLANT NAME AND BRIEF DESCRIPTION OF PROCESSES: Design flow, Anoxic zones, Biosolids Processes, Activated Sludge Process, Fine/Coarse Bubble, etc.</t>
  </si>
  <si>
    <t>Name of Facility:</t>
  </si>
  <si>
    <t>Major Unit Processes:</t>
  </si>
  <si>
    <t>ENERGY DATA PROVIDER:</t>
  </si>
  <si>
    <t>PHONE/EMAIL:</t>
  </si>
  <si>
    <t xml:space="preserve"> Enter Monthly Gas Usage as  ccf or Therms:
 (1 ccf = 100 cu ft = 1 Therm)</t>
  </si>
  <si>
    <t xml:space="preserve">METER 1 </t>
  </si>
  <si>
    <t xml:space="preserve">METER 2 </t>
  </si>
  <si>
    <t xml:space="preserve">METER 3 </t>
  </si>
  <si>
    <t xml:space="preserve">METER 4 </t>
  </si>
  <si>
    <t xml:space="preserve">METER 5 </t>
  </si>
  <si>
    <t>For Multiple Gas Meters - Sum and Enter Totals</t>
  </si>
  <si>
    <r>
      <t xml:space="preserve"> Equipment on this Meter:</t>
    </r>
    <r>
      <rPr>
        <sz val="12"/>
        <color theme="1"/>
        <rFont val="Arial"/>
        <family val="2"/>
      </rPr>
      <t xml:space="preserve"> </t>
    </r>
  </si>
  <si>
    <t xml:space="preserve">MONTH
(Auto-filled)
</t>
  </si>
  <si>
    <t>MONTHLY ELECTRIC USE (kWh)</t>
  </si>
  <si>
    <t>TOTAL ELECTRIC BILL (incl. demand, taxes, etc.) ($)</t>
  </si>
  <si>
    <r>
      <t xml:space="preserve">Actual kW Demand </t>
    </r>
    <r>
      <rPr>
        <sz val="12"/>
        <rFont val="Arial"/>
        <family val="2"/>
      </rPr>
      <t>(if available)</t>
    </r>
  </si>
  <si>
    <r>
      <t xml:space="preserve">Billed kW Demand </t>
    </r>
    <r>
      <rPr>
        <sz val="12"/>
        <rFont val="Arial"/>
        <family val="2"/>
      </rPr>
      <t>(if available)</t>
    </r>
  </si>
  <si>
    <r>
      <t xml:space="preserve">DEMAND COST
</t>
    </r>
    <r>
      <rPr>
        <sz val="12"/>
        <rFont val="Arial"/>
        <family val="2"/>
      </rPr>
      <t xml:space="preserve"> (If known, else leave blank)</t>
    </r>
  </si>
  <si>
    <t>MONTHLY kWh used #2</t>
  </si>
  <si>
    <r>
      <t xml:space="preserve">Actual kW Demand #2 </t>
    </r>
    <r>
      <rPr>
        <sz val="12"/>
        <rFont val="Arial"/>
        <family val="2"/>
      </rPr>
      <t>(if available)</t>
    </r>
  </si>
  <si>
    <r>
      <t xml:space="preserve">Billed kW Demand #2 </t>
    </r>
    <r>
      <rPr>
        <sz val="12"/>
        <rFont val="Arial"/>
        <family val="2"/>
      </rPr>
      <t xml:space="preserve">(if available) </t>
    </r>
  </si>
  <si>
    <r>
      <t xml:space="preserve">DEMAND COST #2
</t>
    </r>
    <r>
      <rPr>
        <sz val="12"/>
        <rFont val="Arial"/>
        <family val="2"/>
      </rPr>
      <t>(if known, else leave blank)</t>
    </r>
  </si>
  <si>
    <t>MONTHLY kWh used #3</t>
  </si>
  <si>
    <r>
      <t xml:space="preserve">Actual kW Demand #3 </t>
    </r>
    <r>
      <rPr>
        <sz val="12"/>
        <rFont val="Arial"/>
        <family val="2"/>
      </rPr>
      <t>(if available)</t>
    </r>
  </si>
  <si>
    <r>
      <t xml:space="preserve">Billed kW Demand #3 </t>
    </r>
    <r>
      <rPr>
        <sz val="12"/>
        <rFont val="Arial"/>
        <family val="2"/>
      </rPr>
      <t>(if available)</t>
    </r>
  </si>
  <si>
    <r>
      <t xml:space="preserve">DEMAND COST #3
</t>
    </r>
    <r>
      <rPr>
        <sz val="12"/>
        <rFont val="Arial"/>
        <family val="2"/>
      </rPr>
      <t>(if known, else leave blank)</t>
    </r>
  </si>
  <si>
    <t>MONTHLY kWh used #4</t>
  </si>
  <si>
    <r>
      <t xml:space="preserve">Actual kW Demand #4 </t>
    </r>
    <r>
      <rPr>
        <sz val="12"/>
        <rFont val="Arial"/>
        <family val="2"/>
      </rPr>
      <t>(if available)</t>
    </r>
  </si>
  <si>
    <r>
      <t xml:space="preserve">Billed kW Demand #4 </t>
    </r>
    <r>
      <rPr>
        <sz val="12"/>
        <rFont val="Arial"/>
        <family val="2"/>
      </rPr>
      <t>(if available)</t>
    </r>
    <r>
      <rPr>
        <b/>
        <sz val="14"/>
        <rFont val="Arial"/>
        <family val="2"/>
      </rPr>
      <t xml:space="preserve"> </t>
    </r>
  </si>
  <si>
    <r>
      <t xml:space="preserve">DEMAND COST #4
</t>
    </r>
    <r>
      <rPr>
        <sz val="12"/>
        <rFont val="Arial"/>
        <family val="2"/>
      </rPr>
      <t>(if known, else leave blank)</t>
    </r>
  </si>
  <si>
    <t>MONTHLY kWh used #5</t>
  </si>
  <si>
    <t>MONTH</t>
  </si>
  <si>
    <t>Avg Daily Flow
(MGD)</t>
  </si>
  <si>
    <t>Avg influent TKN</t>
  </si>
  <si>
    <t>Avg influent TKN (mg/L)</t>
  </si>
  <si>
    <t>Avg influent NOx (mg/L)</t>
  </si>
  <si>
    <t>Avg effluent NOx (mg/L)</t>
  </si>
  <si>
    <t>Avg influent TP</t>
  </si>
  <si>
    <t>Avg effluent TP (mg/L)</t>
  </si>
  <si>
    <t>Avg influent TP (mg/L)</t>
  </si>
  <si>
    <t>Avg Influent CBOD 
(mg/L)</t>
  </si>
  <si>
    <t>CBOD removal (lbs/d)</t>
  </si>
  <si>
    <t>Avg Daily Flow</t>
  </si>
  <si>
    <t>Monthly Flow</t>
  </si>
  <si>
    <t>MG</t>
  </si>
  <si>
    <t>MGD</t>
  </si>
  <si>
    <t>BOD removed</t>
  </si>
  <si>
    <t>lbs/d</t>
  </si>
  <si>
    <t>Flow Efficiency</t>
  </si>
  <si>
    <t>kWh/MG</t>
  </si>
  <si>
    <t>BOD efficiency</t>
  </si>
  <si>
    <t>kWh/lb BOD</t>
  </si>
  <si>
    <t>Column2</t>
  </si>
  <si>
    <r>
      <rPr>
        <b/>
        <u val="single"/>
        <sz val="16"/>
        <color theme="1"/>
        <rFont val="Arial"/>
        <family val="2"/>
      </rPr>
      <t>GAS METER:</t>
    </r>
    <r>
      <rPr>
        <b/>
        <i/>
        <sz val="14"/>
        <color theme="1"/>
        <rFont val="Arial"/>
        <family val="2"/>
      </rPr>
      <t xml:space="preserve">  Enter Monthly Gas Usage as  ccf or Therms
 (1 ccf = 100 cu ft = 1 Therm)</t>
    </r>
  </si>
  <si>
    <t>Gas usage (ccf or therms)</t>
  </si>
  <si>
    <t>Gas energy usage in kWh</t>
  </si>
  <si>
    <t>Total gas cost ($)</t>
  </si>
  <si>
    <t>Year</t>
  </si>
  <si>
    <t>Total electric cost</t>
  </si>
  <si>
    <t>Total Gas cost</t>
  </si>
  <si>
    <t>Total Energy Cost</t>
  </si>
  <si>
    <t>Electric kWh usage</t>
  </si>
  <si>
    <t>Gas kWh usage</t>
  </si>
  <si>
    <t>kWh-eq</t>
  </si>
  <si>
    <t>Electric Demand Cost</t>
  </si>
  <si>
    <t>$</t>
  </si>
  <si>
    <t>Energy Cost per lb BOD</t>
  </si>
  <si>
    <t>Energy Cost per Volume Treated</t>
  </si>
  <si>
    <t>$/MG</t>
  </si>
  <si>
    <t>$/lb BOD</t>
  </si>
  <si>
    <t>Avg effluent NH3  (mg/L)</t>
  </si>
  <si>
    <t>Avg influent NH3</t>
  </si>
  <si>
    <t>Avg influent NH3 (mg/L)</t>
  </si>
  <si>
    <t>Avg effluent TKN (mg/L)</t>
  </si>
  <si>
    <t>Avg influent NOx</t>
  </si>
  <si>
    <t>Avg effluent TKN</t>
  </si>
  <si>
    <t>Avg effluent NH3</t>
  </si>
  <si>
    <t>Avg effluent NOx</t>
  </si>
  <si>
    <t>Avg effluent TP</t>
  </si>
  <si>
    <t>Labels</t>
  </si>
  <si>
    <t>Avg BOD removal</t>
  </si>
  <si>
    <t>Total BOD removal</t>
  </si>
  <si>
    <t>lbs</t>
  </si>
  <si>
    <t>Annual Flow Treated</t>
  </si>
  <si>
    <t>Counted Flow</t>
  </si>
  <si>
    <t>Column6</t>
  </si>
  <si>
    <t>Column7</t>
  </si>
  <si>
    <t>Total BOD removed</t>
  </si>
  <si>
    <t>Counted Energy</t>
  </si>
  <si>
    <t>Total Energy Usage</t>
  </si>
  <si>
    <t>Counted BOD removal</t>
  </si>
  <si>
    <t>Months Reporting</t>
  </si>
  <si>
    <t>Summary of Flow efficiency calculations</t>
  </si>
  <si>
    <t>Summary of BOD efficiency calculations</t>
  </si>
  <si>
    <t>Summary of Cost per Flow calculations</t>
  </si>
  <si>
    <t>Summary of Cost per lb BOD calculations</t>
  </si>
  <si>
    <t>Counted Energy Cost</t>
  </si>
  <si>
    <t>Approx. TN removal (mg/L)</t>
  </si>
  <si>
    <t>Avg TP influent</t>
  </si>
  <si>
    <t>Avg TP effluent</t>
  </si>
  <si>
    <t>Approx. TP removal (mg/L)</t>
  </si>
  <si>
    <t>Approx TP removal (lbs/year)</t>
  </si>
  <si>
    <t>Label</t>
  </si>
  <si>
    <t>Avg $/kWh</t>
  </si>
  <si>
    <t>Baseline</t>
  </si>
  <si>
    <t>Unit</t>
  </si>
  <si>
    <t>Approx TN removal (mg/L)</t>
  </si>
  <si>
    <t>Calculated TP removal (lbs)</t>
  </si>
  <si>
    <t>Approx TN removal (lbs)</t>
  </si>
  <si>
    <t>Approx. TN removal (lbs/mo)</t>
  </si>
  <si>
    <t>Energy Data Entry</t>
  </si>
  <si>
    <t>Process Data Entry</t>
  </si>
  <si>
    <t>Avg kWh/MG</t>
  </si>
  <si>
    <t>Avg kWh/lb BOD removed</t>
  </si>
  <si>
    <t>Flow Efficiency Graph Values</t>
  </si>
  <si>
    <t>BOD Efficiency Graph Values</t>
  </si>
  <si>
    <t>overlap 1</t>
  </si>
  <si>
    <t>overlap 2</t>
  </si>
  <si>
    <t>overlap</t>
  </si>
  <si>
    <t>Avg Nitrogen Effluent, by species (mg/L-N)</t>
  </si>
  <si>
    <t>Avg TP removal (lbs/mo)</t>
  </si>
  <si>
    <t>Baseline 1</t>
  </si>
  <si>
    <t>Baseline 2</t>
  </si>
  <si>
    <t>Average Daily Flow (MGD)</t>
  </si>
  <si>
    <t>Avg energy usage (kWh/month)</t>
  </si>
  <si>
    <t>Avg kW 
demand</t>
  </si>
  <si>
    <t>Flow-paired Monthly Energy Usage</t>
  </si>
  <si>
    <t>Energy-paired Avg Flow</t>
  </si>
  <si>
    <t>Flow-matched Energy $/month</t>
  </si>
  <si>
    <t>Flow Summary Table Values</t>
  </si>
  <si>
    <t>Avg $/kWh (electric only)</t>
  </si>
  <si>
    <t>% change from baseline</t>
  </si>
  <si>
    <t>N/A</t>
  </si>
  <si>
    <t>Energy savings</t>
  </si>
  <si>
    <t>Energy Cost Savings</t>
  </si>
  <si>
    <t>Energy-paired Total Flow (MG)</t>
  </si>
  <si>
    <t>Cumulative Change</t>
  </si>
  <si>
    <t>Cumulative Savings</t>
  </si>
  <si>
    <t>Cumulative change</t>
  </si>
  <si>
    <t>Flow-based Energy and Cost Savings</t>
  </si>
  <si>
    <t>Monthly Energy Cost
($/month)</t>
  </si>
  <si>
    <t>Energy Cost Efficiency
($/MG)</t>
  </si>
  <si>
    <t>Energy Efficiency 
(kWh/MG)</t>
  </si>
  <si>
    <t>Cost of Electriciity
($/kWh)</t>
  </si>
  <si>
    <t>BOD Summary Table Values</t>
  </si>
  <si>
    <t>Energy-paired BOD removal</t>
  </si>
  <si>
    <t>Energy-paired Total BOD removal</t>
  </si>
  <si>
    <t>lbs/year</t>
  </si>
  <si>
    <t>BOD-paired Monthly Energy Usage</t>
  </si>
  <si>
    <t>BOD-matched Energy $/month</t>
  </si>
  <si>
    <t>BOD-based Energy and Cost Savings</t>
  </si>
  <si>
    <t>Average BOD removal (lbs/d)</t>
  </si>
  <si>
    <t>Energy Efficiency 
(kWh/lb BOD)</t>
  </si>
  <si>
    <t>Energy Cost Efficiency
($/lb BOD)</t>
  </si>
  <si>
    <t>Nutrient Removal Summary</t>
  </si>
  <si>
    <t>Avg Influent TN
(mg/L)</t>
  </si>
  <si>
    <t>Avg Effluent NO3+NO2 (mg/L)</t>
  </si>
  <si>
    <t>Avg Influent TP
(mg/L)</t>
  </si>
  <si>
    <t>Avg Effluent TP
(mg/L)</t>
  </si>
  <si>
    <t>Nutrient Summary Table</t>
  </si>
  <si>
    <t>Influent TN</t>
  </si>
  <si>
    <t>Effluent NOx</t>
  </si>
  <si>
    <t>Influent TP</t>
  </si>
  <si>
    <t>Effluent TP</t>
  </si>
  <si>
    <t>Effluent NH3</t>
  </si>
  <si>
    <t>Effluent TKN</t>
  </si>
  <si>
    <t>Avg TN Removal (lbs/mo)</t>
  </si>
  <si>
    <r>
      <t>NO</t>
    </r>
    <r>
      <rPr>
        <b/>
        <vertAlign val="subscript"/>
        <sz val="11"/>
        <color theme="1"/>
        <rFont val="Calibri"/>
        <family val="2"/>
        <scheme val="minor"/>
      </rPr>
      <t>3</t>
    </r>
    <r>
      <rPr>
        <b/>
        <sz val="11"/>
        <color theme="1"/>
        <rFont val="Calibri"/>
        <family val="2"/>
        <scheme val="minor"/>
      </rPr>
      <t>+ NO</t>
    </r>
    <r>
      <rPr>
        <b/>
        <vertAlign val="subscript"/>
        <sz val="11"/>
        <color theme="1"/>
        <rFont val="Calibri"/>
        <family val="2"/>
        <scheme val="minor"/>
      </rPr>
      <t xml:space="preserve">2 </t>
    </r>
    <r>
      <rPr>
        <b/>
        <sz val="11"/>
        <color theme="1"/>
        <rFont val="Calibri Light"/>
        <family val="2"/>
        <scheme val="major"/>
      </rPr>
      <t>(mg/L)</t>
    </r>
  </si>
  <si>
    <t>TKN (mg/L)</t>
  </si>
  <si>
    <t>NH3 (mg/L)</t>
  </si>
  <si>
    <t>Current year?</t>
  </si>
  <si>
    <t>Approx TN removed (tons/year)</t>
  </si>
  <si>
    <r>
      <t>Actual kW Demand #5</t>
    </r>
    <r>
      <rPr>
        <sz val="12"/>
        <rFont val="Arial"/>
        <family val="2"/>
      </rPr>
      <t xml:space="preserve"> (if available)</t>
    </r>
  </si>
  <si>
    <r>
      <t>Billed kW Demand #5</t>
    </r>
    <r>
      <rPr>
        <sz val="12"/>
        <rFont val="Arial"/>
        <family val="2"/>
      </rPr>
      <t xml:space="preserve"> (if available) </t>
    </r>
  </si>
  <si>
    <r>
      <t xml:space="preserve">DEMAND COST #5
</t>
    </r>
    <r>
      <rPr>
        <sz val="12"/>
        <rFont val="Arial"/>
        <family val="2"/>
      </rPr>
      <t>(if known, else leave blank)</t>
    </r>
  </si>
  <si>
    <t>Total Electric Bill (incl. demand, taxes, etc.) ($) #2</t>
  </si>
  <si>
    <t>Total Electric Bill (incl. demand, taxes, etc.) ($) #3</t>
  </si>
  <si>
    <t>Total Electric Bill (incl. demand, taxes, etc.) ($) #4</t>
  </si>
  <si>
    <t>Total Electric Bill (incl. demand, taxes, etc.) ($) #5</t>
  </si>
  <si>
    <t>Improvement in % TN removal (%)</t>
  </si>
  <si>
    <t>Improvement in % TP removal (%)</t>
  </si>
  <si>
    <t>Approx. Additional Removal (lbs)</t>
  </si>
  <si>
    <t>Approx. add'l removal TN over baseline (lbs)</t>
  </si>
  <si>
    <t>Approx. add'l TP removal over baseline (lbs/year)</t>
  </si>
  <si>
    <t>Avg TN removal (lbs/mo)</t>
  </si>
  <si>
    <t>Avg TN removal (%)</t>
  </si>
  <si>
    <t>Total Electric Demand (Actual)</t>
  </si>
  <si>
    <t>Total Electric Demand (Billed)</t>
  </si>
  <si>
    <t>Avg Actual Electric Demand (kW)</t>
  </si>
  <si>
    <t>Avg Billed Electric Demand (kW)</t>
  </si>
  <si>
    <t>kW</t>
  </si>
  <si>
    <r>
      <rPr>
        <b/>
        <u val="single"/>
        <sz val="22"/>
        <color theme="1"/>
        <rFont val="Arial"/>
        <family val="2"/>
      </rPr>
      <t>Electric Meters:</t>
    </r>
    <r>
      <rPr>
        <b/>
        <i/>
        <sz val="18"/>
        <color theme="1"/>
        <rFont val="Arial"/>
        <family val="2"/>
      </rPr>
      <t xml:space="preserve"> 
</t>
    </r>
    <r>
      <rPr>
        <sz val="14"/>
        <color theme="1"/>
        <rFont val="Arial"/>
        <family val="2"/>
      </rPr>
      <t xml:space="preserve">1. Enter the </t>
    </r>
    <r>
      <rPr>
        <u val="single"/>
        <sz val="14"/>
        <color theme="1"/>
        <rFont val="Arial"/>
        <family val="2"/>
      </rPr>
      <t>Meter Number</t>
    </r>
    <r>
      <rPr>
        <sz val="14"/>
        <color theme="1"/>
        <rFont val="Arial"/>
        <family val="2"/>
      </rPr>
      <t xml:space="preserve"> if shown and a </t>
    </r>
    <r>
      <rPr>
        <u val="single"/>
        <sz val="14"/>
        <color theme="1"/>
        <rFont val="Arial"/>
        <family val="2"/>
      </rPr>
      <t>Description</t>
    </r>
    <r>
      <rPr>
        <sz val="14"/>
        <color theme="1"/>
        <rFont val="Arial"/>
        <family val="2"/>
      </rPr>
      <t xml:space="preserve">: Whole Plant, Aeration, Pumping, Etc.
2. Enter the </t>
    </r>
    <r>
      <rPr>
        <u val="single"/>
        <sz val="14"/>
        <color theme="1"/>
        <rFont val="Arial"/>
        <family val="2"/>
      </rPr>
      <t>Monthly Usage:</t>
    </r>
    <r>
      <rPr>
        <sz val="14"/>
        <color theme="1"/>
        <rFont val="Arial"/>
        <family val="2"/>
      </rPr>
      <t xml:space="preserve"> (kWh) for each meter.
3. Enter the </t>
    </r>
    <r>
      <rPr>
        <u val="single"/>
        <sz val="14"/>
        <color theme="1"/>
        <rFont val="Arial"/>
        <family val="2"/>
      </rPr>
      <t>Monthly Total Cost</t>
    </r>
    <r>
      <rPr>
        <sz val="14"/>
        <color theme="1"/>
        <rFont val="Arial"/>
        <family val="2"/>
      </rPr>
      <t xml:space="preserve">: The total charge for that meter, inclusive of demand charges, fees, taxes, etc.
4. If available, enter the </t>
    </r>
    <r>
      <rPr>
        <u val="single"/>
        <sz val="14"/>
        <color theme="1"/>
        <rFont val="Arial"/>
        <family val="2"/>
      </rPr>
      <t>"Actual" and "Billed" Demand</t>
    </r>
    <r>
      <rPr>
        <sz val="14"/>
        <color theme="1"/>
        <rFont val="Arial"/>
        <family val="2"/>
      </rPr>
      <t xml:space="preserve"> in kW under the appropriate columns. (Optional)
5. If available, enter the </t>
    </r>
    <r>
      <rPr>
        <u val="single"/>
        <sz val="14"/>
        <color theme="1"/>
        <rFont val="Arial"/>
        <family val="2"/>
      </rPr>
      <t>Demand Charge</t>
    </r>
    <r>
      <rPr>
        <sz val="14"/>
        <color theme="1"/>
        <rFont val="Arial"/>
        <family val="2"/>
      </rPr>
      <t xml:space="preserve"> as shown on the bill, under the "Demand Cost" column. (Optional)
6. If you have additional meters, click the appropriate "Show Meter" button to input additional data. Click "Hide Meter" to hide. 
7. If there is significant natural gas use at the plant (e.g., for heating digesters or drying biosolids), use the gas meter table on the far right to enter the appropriate data.</t>
    </r>
  </si>
  <si>
    <t>Avg Effluent CBOD 
(mg/L)</t>
  </si>
  <si>
    <t>Avg TP removed (%)</t>
  </si>
  <si>
    <t>Avg TP removed (lbs/mo)</t>
  </si>
  <si>
    <t>Sufficient TN data to extrapolate?</t>
  </si>
  <si>
    <t>Sufficient TP data to extrapolate?</t>
  </si>
  <si>
    <t>Avg $/kW demand</t>
  </si>
  <si>
    <t>Ideally 24 months of baseline data is available prior to this date. Progress is measured beginning with this month.</t>
  </si>
  <si>
    <t>Beginning of Monitoring Period
(MM/YYYY)</t>
  </si>
  <si>
    <t>1) Enter some background information about the facility and the name and contact information for your energy providers
2) Select a month from which to measure progress and enter it into the "Beginning of Monitoring Period." This will adjust the "month" column across all sheets in the tool and determine how savings are calculated. For example, if optimization efforts began in late July 2017, it may be prudent to select August 2017 as the beginning of the monitoring period. Be mindful that if this date is adjusted after entering process or energy data, that data will no longer match the appropriate months and will need to be adjusted accordingly.
3) Enter electric billing data for each electric meter you wish to track. Up to five meters can be tracked. For usability, electric meters 2-5 can be shown or hidden by clicking the appropriate buttons. Depending on your computer settings, it may be necessary to "enable content" to allow the buttons to function. If significant natural gas is used at the facility, consider entering gas usage data in Columns AD-AG. 
4) Not all electric bills will have all components listed on the data entry page. Usage (kWh) and total cost ($) are required for the tool to work properly. The other fields are optional but will activate additional features and can be useful in identifying further opportunities. It may be necessary to contact the electric power provider to obtain usage and demand information if it is not listed on the bill.
5) It is common that electrical billing dates do not align with a calendar month. If this is the case, simply assign the bill to the month that makes the most sense and be consistent going forward. For example, if the billing dates are July 20th - August 19th, it is prudent to assign that bill to August. Any inaccuracies due to misalignment will ultimately average out since energy savings are calculated on an annual basis.
6) For best results, once energy data is up to date, continue to the process data entry sheet and enter flow and BOD data for any months that have energy data.</t>
  </si>
  <si>
    <t>1) Enter the available process data for the appropriate months. It is best to ensure that any month with process data also has energy data, and vice versa. 
2) Flow and BOD data will be used with the information on the Energy Data Entry sheet to track energy efficiency (kWh/MG and kWh/lb BOD), cost efficiency ($/MG and $/lb BOD), and savings (kWh/year and $/year).
3) Nitrogen and phosphorus data will be used to estimate nutrient removal provided sufficient data is available. 
For phosphorus, the tool needs flow, influent and effluent TP concentrations to calculate removal. If any of those three parameters are missing for a given month, that month will not count towards the total.
For nitrogen, the tool needs influent TKN, effluent nitrate + nitrite, and either effluent TKN or effluent ammonia to work properly. Most facilities do not have significant influent nitrate or nitrite, but if that is the case, be sure to include it.
In order to estimate removal on an annual basis, the above data needs to be entered at least quarterly.</t>
  </si>
  <si>
    <t>Summary Tables and Charts</t>
  </si>
  <si>
    <r>
      <t xml:space="preserve">The remaining sheets display calculated savings and trends based on the data entered:
</t>
    </r>
    <r>
      <rPr>
        <u val="single"/>
        <sz val="12"/>
        <color theme="1"/>
        <rFont val="Arial"/>
        <family val="2"/>
      </rPr>
      <t>Flow-based Summary</t>
    </r>
    <r>
      <rPr>
        <sz val="12"/>
        <color theme="1"/>
        <rFont val="Arial"/>
        <family val="2"/>
      </rPr>
      <t xml:space="preserve">: This table summarizes energy usage, energy costs, and flow treated for each year of the monitoring period. It also compares performance relative to the baseline data. Savings for each monitoring year are calculated by using the baseline kWh/MG (or $/MG) to estimate the energy (or cost) the plant </t>
    </r>
    <r>
      <rPr>
        <i/>
        <sz val="12"/>
        <color theme="1"/>
        <rFont val="Arial"/>
        <family val="2"/>
      </rPr>
      <t xml:space="preserve">would have </t>
    </r>
    <r>
      <rPr>
        <sz val="12"/>
        <color theme="1"/>
        <rFont val="Arial"/>
        <family val="2"/>
      </rPr>
      <t xml:space="preserve">required to treat the volume treated during that year, and comparing that value to the actual energy used. 
</t>
    </r>
    <r>
      <rPr>
        <u val="single"/>
        <sz val="12"/>
        <color theme="1"/>
        <rFont val="Arial"/>
        <family val="2"/>
      </rPr>
      <t>BOD-based Summary</t>
    </r>
    <r>
      <rPr>
        <sz val="12"/>
        <color theme="1"/>
        <rFont val="Arial"/>
        <family val="2"/>
      </rPr>
      <t xml:space="preserve">: This table functions similarly as the 'Flow-based Summary' but uses the quantity of BOD removed as the basis for comparison. Plants that have a significant amount of infiltration/inflow may find this a more reasonable basis of comparison.
</t>
    </r>
    <r>
      <rPr>
        <u val="single"/>
        <sz val="12"/>
        <color theme="1"/>
        <rFont val="Arial"/>
        <family val="2"/>
      </rPr>
      <t>Nutrient Removal Summary</t>
    </r>
    <r>
      <rPr>
        <sz val="12"/>
        <color theme="1"/>
        <rFont val="Arial"/>
        <family val="2"/>
      </rPr>
      <t xml:space="preserve">: This table summarizes nutrient removal performance based on data from the 'Process Data Entry' sheet. Influent, effluent and % removal values are calculated from all availalble values. Mass removal values are calculated using only months which meet the criteria described in the 'Process Data Entry' section above.
</t>
    </r>
    <r>
      <rPr>
        <u val="single"/>
        <sz val="12"/>
        <color theme="1"/>
        <rFont val="Arial"/>
        <family val="2"/>
      </rPr>
      <t>TN and TP removal</t>
    </r>
    <r>
      <rPr>
        <sz val="12"/>
        <color theme="1"/>
        <rFont val="Arial"/>
        <family val="2"/>
      </rPr>
      <t xml:space="preserve">: These charts display annual trends in influent and effluent nutrients, and overall removal. Baseline data is shaded.
</t>
    </r>
    <r>
      <rPr>
        <u val="single"/>
        <sz val="12"/>
        <color theme="1"/>
        <rFont val="Arial"/>
        <family val="2"/>
      </rPr>
      <t>Flow and BOD Efficiency</t>
    </r>
    <r>
      <rPr>
        <sz val="12"/>
        <color theme="1"/>
        <rFont val="Arial"/>
        <family val="2"/>
      </rPr>
      <t xml:space="preserve">: These charts display annual trends in kWh/MG and kWh/lb BOD. Baseline data is shaded.
</t>
    </r>
  </si>
  <si>
    <t>Questions?
Please contact Brendan Held at (404) 562-8018 or held.brendan@epa.gov</t>
  </si>
  <si>
    <t>Troubleshooting</t>
  </si>
  <si>
    <t>The pages in this Tool are protected to minimize accidental changes in the formulas or charts. Each sheet can be unprotected under the "Review" tab. Additionally, some sheets have been hidden to improve usability. To unhide hidden sheets, right-click on any sheet title and select "Unhide..." Editing these sheets is discouraged as it could cause issues elsewhere in the Tool.</t>
  </si>
  <si>
    <t>The Tool may display odd data, or it may unexpectedly display blanks. In these cases it may be helpful to check the following:
1) If process data has been entered for a month, ensure corresponding energy data has been entered, and vice versa. If data is missing and unavailable, either enter a reasonable estimate or delete the rest of the data for that month.
2) If the plant uses more than one electric meter, ensure that all meters have data entered for the appropriate months. 
3) Ensure that nutrient data meets the criteria described in the 'Process Data Entry' section above, and that any month with nutrient data has a corresponding average daily flow.
4) If the issue is not resolved, try re-entering the data in a fresh copy of the tool, and a formula may have inadvertently been edited.
5) If none of the above resolve the issue, please use the contact information below to ask for help.</t>
  </si>
  <si>
    <t xml:space="preserve">Nutrient &amp; Energy Assessment Tool - Wastewater Optimization
Version 3.0 beta (March 2019)  </t>
  </si>
  <si>
    <t>Energy Savings (kWh)</t>
  </si>
  <si>
    <t xml:space="preserve">Energy Cost Savings </t>
  </si>
  <si>
    <t>Oxidation ditch, aerobic digester, UV disinfection, centerfuge</t>
  </si>
  <si>
    <t>Demo City Electric Co.</t>
  </si>
  <si>
    <t>865-555-0000</t>
  </si>
  <si>
    <t>Webinarville, Tennessee WWTP</t>
  </si>
  <si>
    <r>
      <rPr>
        <b/>
        <sz val="16"/>
        <color theme="1"/>
        <rFont val="Arial"/>
        <family val="2"/>
      </rPr>
      <t>ABOUT THIS TOOL:</t>
    </r>
    <r>
      <rPr>
        <b/>
        <sz val="24"/>
        <color theme="1"/>
        <rFont val="Arial"/>
        <family val="2"/>
      </rPr>
      <t xml:space="preserve">
</t>
    </r>
    <r>
      <rPr>
        <sz val="12"/>
        <color theme="1"/>
        <rFont val="Arial"/>
        <family val="2"/>
      </rPr>
      <t xml:space="preserve">This tool is intended to help wastewater operators track changes in energy usage, treatment costs, and nutrient discharge resulting from efforts to optimize their facilities. It calculates savings and displays them on summary charts, and plots related data to help identify trends. This information can be used to evaluate optimization efforts and identify further opportunities.
A video tutorial for using this tool is available at https://youtu.be/CK7IUl5F8gM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</si>
</sst>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7" formatCode="&quot;$&quot;#,##0.00_);\(&quot;$&quot;#,##0.00\)"/>
    <numFmt numFmtId="44" formatCode="_(&quot;$&quot;* #,##0.00_);_(&quot;$&quot;* \(#,##0.00\);_(&quot;$&quot;* &quot;-&quot;??_);_(@_)"/>
    <numFmt numFmtId="43" formatCode="_(* #,##0.00_);_(* \(#,##0.00\);_(* &quot;-&quot;??_);_(@_)"/>
    <numFmt numFmtId="164" formatCode="[$-409]mmmm\-yy;@"/>
    <numFmt numFmtId="165" formatCode="&quot;$&quot;#,##0.00"/>
    <numFmt numFmtId="166" formatCode="0.000"/>
    <numFmt numFmtId="167" formatCode="0.0%"/>
    <numFmt numFmtId="168" formatCode="0.0"/>
    <numFmt numFmtId="169" formatCode="[$-409]mmm\-yy;@"/>
    <numFmt numFmtId="170" formatCode="_(* #,##0_);_(* \(#,##0\);_(* &quot;-&quot;??_);_(@_)"/>
    <numFmt numFmtId="171" formatCode="[$-409]mmm\ yyyy;@"/>
    <numFmt numFmtId="172" formatCode="[$-409]mmm\-yyyy;@"/>
    <numFmt numFmtId="173" formatCode="&quot;$&quot;#,##0"/>
    <numFmt numFmtId="174" formatCode="0_);\(0\)"/>
    <numFmt numFmtId="175" formatCode="&quot;$&quot;#,##0.000"/>
    <numFmt numFmtId="176" formatCode="0.00_);\(0.00\)"/>
    <numFmt numFmtId="177" formatCode="#,##0.0"/>
    <numFmt numFmtId="178" formatCode="mm/yyyy"/>
    <numFmt numFmtId="179" formatCode="General"/>
    <numFmt numFmtId="180" formatCode="0"/>
    <numFmt numFmtId="181" formatCode="#,##0"/>
    <numFmt numFmtId="182" formatCode="0.00"/>
    <numFmt numFmtId="183" formatCode="#,##0_);\(#,##0\)"/>
  </numFmts>
  <fonts count="60">
    <font>
      <sz val="11"/>
      <color theme="1"/>
      <name val="Calibri"/>
      <family val="2"/>
      <scheme val="minor"/>
    </font>
    <font>
      <sz val="10"/>
      <name val="Arial"/>
      <family val="2"/>
    </font>
    <font>
      <b/>
      <sz val="11"/>
      <color theme="1"/>
      <name val="Calibri"/>
      <family val="2"/>
      <scheme val="minor"/>
    </font>
    <font>
      <b/>
      <sz val="20"/>
      <color theme="1"/>
      <name val="Verdana"/>
      <family val="2"/>
    </font>
    <font>
      <b/>
      <sz val="18"/>
      <color theme="1"/>
      <name val="Verdana"/>
      <family val="2"/>
    </font>
    <font>
      <b/>
      <sz val="22"/>
      <color theme="1"/>
      <name val="Verdana"/>
      <family val="2"/>
    </font>
    <font>
      <b/>
      <sz val="24"/>
      <color theme="1"/>
      <name val="Arial"/>
      <family val="2"/>
    </font>
    <font>
      <sz val="14"/>
      <color theme="1"/>
      <name val="Arial"/>
      <family val="2"/>
    </font>
    <font>
      <b/>
      <sz val="14"/>
      <color theme="1"/>
      <name val="Arial"/>
      <family val="2"/>
    </font>
    <font>
      <sz val="12"/>
      <color theme="1"/>
      <name val="Arial"/>
      <family val="2"/>
    </font>
    <font>
      <b/>
      <sz val="12"/>
      <color theme="1"/>
      <name val="Arial"/>
      <family val="2"/>
    </font>
    <font>
      <b/>
      <sz val="16"/>
      <color theme="1"/>
      <name val="Arial"/>
      <family val="2"/>
    </font>
    <font>
      <b/>
      <i/>
      <sz val="18"/>
      <color rgb="FFFF0000"/>
      <name val="Verdana"/>
      <family val="2"/>
    </font>
    <font>
      <b/>
      <u val="single"/>
      <sz val="14"/>
      <color theme="1"/>
      <name val="Arial"/>
      <family val="2"/>
    </font>
    <font>
      <b/>
      <i/>
      <sz val="14"/>
      <color theme="1"/>
      <name val="Arial"/>
      <family val="2"/>
    </font>
    <font>
      <b/>
      <sz val="14"/>
      <name val="Arial"/>
      <family val="2"/>
    </font>
    <font>
      <b/>
      <sz val="14"/>
      <color theme="1"/>
      <name val="Calibri"/>
      <family val="2"/>
    </font>
    <font>
      <sz val="11"/>
      <color theme="1"/>
      <name val="Arial"/>
      <family val="2"/>
    </font>
    <font>
      <b/>
      <u val="single"/>
      <sz val="22"/>
      <color theme="1"/>
      <name val="Arial"/>
      <family val="2"/>
    </font>
    <font>
      <b/>
      <i/>
      <sz val="18"/>
      <color theme="1"/>
      <name val="Arial"/>
      <family val="2"/>
    </font>
    <font>
      <u val="single"/>
      <sz val="14"/>
      <color theme="1"/>
      <name val="Arial"/>
      <family val="2"/>
    </font>
    <font>
      <sz val="11"/>
      <color theme="1"/>
      <name val="Verdana"/>
      <family val="2"/>
    </font>
    <font>
      <sz val="16"/>
      <color theme="1"/>
      <name val="Arial"/>
      <family val="2"/>
    </font>
    <font>
      <b/>
      <u val="single"/>
      <sz val="16"/>
      <color theme="1"/>
      <name val="Arial"/>
      <family val="2"/>
    </font>
    <font>
      <b/>
      <sz val="18"/>
      <color theme="1"/>
      <name val="Calibri"/>
      <family val="2"/>
      <scheme val="minor"/>
    </font>
    <font>
      <sz val="12"/>
      <name val="Arial"/>
      <family val="2"/>
    </font>
    <font>
      <sz val="9"/>
      <name val="Tahoma"/>
      <family val="2"/>
    </font>
    <font>
      <b/>
      <sz val="9"/>
      <name val="Tahoma"/>
      <family val="2"/>
    </font>
    <font>
      <b/>
      <vertAlign val="subscript"/>
      <sz val="11"/>
      <color theme="1"/>
      <name val="Calibri"/>
      <family val="2"/>
      <scheme val="minor"/>
    </font>
    <font>
      <i/>
      <sz val="11"/>
      <color theme="1"/>
      <name val="Calibri"/>
      <family val="2"/>
      <scheme val="minor"/>
    </font>
    <font>
      <b/>
      <sz val="36"/>
      <color theme="1"/>
      <name val="Calibri"/>
      <family val="2"/>
      <scheme val="minor"/>
    </font>
    <font>
      <b/>
      <sz val="12"/>
      <color theme="1"/>
      <name val="Calibri"/>
      <family val="2"/>
      <scheme val="minor"/>
    </font>
    <font>
      <b/>
      <sz val="14"/>
      <color theme="1"/>
      <name val="Calibri"/>
      <family val="2"/>
      <scheme val="minor"/>
    </font>
    <font>
      <sz val="9"/>
      <color theme="1"/>
      <name val="Calibri"/>
      <family val="2"/>
      <scheme val="minor"/>
    </font>
    <font>
      <b/>
      <sz val="11"/>
      <color theme="1"/>
      <name val="Calibri Light"/>
      <family val="2"/>
      <scheme val="major"/>
    </font>
    <font>
      <b/>
      <sz val="11"/>
      <color rgb="FF000000"/>
      <name val="Calibri"/>
      <family val="2"/>
      <scheme val="minor"/>
    </font>
    <font>
      <i/>
      <sz val="12"/>
      <color theme="1"/>
      <name val="Arial"/>
      <family val="2"/>
    </font>
    <font>
      <u val="single"/>
      <sz val="12"/>
      <color theme="1"/>
      <name val="Arial"/>
      <family val="2"/>
    </font>
    <font>
      <b/>
      <sz val="18"/>
      <color theme="1"/>
      <name val="Arial"/>
      <family val="2"/>
    </font>
    <font>
      <sz val="18"/>
      <color theme="1"/>
      <name val="Calibri"/>
      <family val="2"/>
      <scheme val="minor"/>
    </font>
    <font>
      <sz val="14"/>
      <color theme="1" tint="0.35"/>
      <name val="Calibri"/>
      <family val="2"/>
    </font>
    <font>
      <sz val="9"/>
      <color theme="1" tint="0.35"/>
      <name val="+mn-cs"/>
      <family val="2"/>
    </font>
    <font>
      <sz val="9"/>
      <color theme="1" tint="0.35"/>
      <name val="Calibri"/>
      <family val="2"/>
    </font>
    <font>
      <b/>
      <sz val="11"/>
      <color theme="1"/>
      <name val="Calibri"/>
      <family val="2"/>
    </font>
    <font>
      <sz val="11"/>
      <color theme="1"/>
      <name val="Calibri"/>
      <family val="2"/>
    </font>
    <font>
      <b/>
      <sz val="11"/>
      <color rgb="FFFF0000"/>
      <name val="Calibri"/>
      <family val="2"/>
    </font>
    <font>
      <sz val="11"/>
      <color rgb="FFFF0000"/>
      <name val="Calibri"/>
      <family val="2"/>
    </font>
    <font>
      <sz val="24"/>
      <color theme="1" tint="0.35"/>
      <name val="Calibri"/>
      <family val="2"/>
    </font>
    <font>
      <sz val="16"/>
      <color theme="1" tint="0.35"/>
      <name val="+mn-cs"/>
      <family val="2"/>
    </font>
    <font>
      <sz val="14"/>
      <color theme="1" tint="0.35"/>
      <name val="+mn-cs"/>
      <family val="2"/>
    </font>
    <font>
      <sz val="16"/>
      <color theme="1" tint="0.35"/>
      <name val="Calibri"/>
      <family val="2"/>
    </font>
    <font>
      <sz val="12"/>
      <color theme="1" tint="0.35"/>
      <name val="Calibri"/>
      <family val="2"/>
    </font>
    <font>
      <sz val="18"/>
      <color theme="1" tint="0.35"/>
      <name val="Calibri"/>
      <family val="2"/>
    </font>
    <font>
      <b/>
      <sz val="24"/>
      <color rgb="FF000000"/>
      <name val="Arial"/>
      <family val="2"/>
    </font>
    <font>
      <sz val="18"/>
      <name val="+mn-cs"/>
      <family val="2"/>
    </font>
    <font>
      <sz val="14"/>
      <name val="Calibri"/>
      <family val="2"/>
    </font>
    <font>
      <sz val="11"/>
      <name val="Calibri"/>
      <family val="2"/>
    </font>
    <font>
      <sz val="11"/>
      <color theme="0"/>
      <name val="Calibri"/>
      <family val="2"/>
    </font>
    <font>
      <sz val="11"/>
      <color theme="0"/>
      <name val="Calibri"/>
      <family val="2"/>
      <scheme val="minor"/>
    </font>
    <font>
      <b/>
      <sz val="8"/>
      <name val="Calibri"/>
      <family val="2"/>
    </font>
  </fonts>
  <fills count="17">
    <fill>
      <patternFill/>
    </fill>
    <fill>
      <patternFill patternType="gray125"/>
    </fill>
    <fill>
      <patternFill patternType="solid">
        <fgColor theme="0"/>
        <bgColor indexed="64"/>
      </patternFill>
    </fill>
    <fill>
      <patternFill patternType="solid">
        <fgColor rgb="FFFFFFCC"/>
        <bgColor indexed="64"/>
      </patternFill>
    </fill>
    <fill>
      <patternFill patternType="solid">
        <fgColor theme="5" tint="0.7999799847602844"/>
        <bgColor indexed="64"/>
      </patternFill>
    </fill>
    <fill>
      <patternFill patternType="solid">
        <fgColor theme="9" tint="0.5999900102615356"/>
        <bgColor indexed="64"/>
      </patternFill>
    </fill>
    <fill>
      <patternFill patternType="solid">
        <fgColor rgb="FFFFFFFF"/>
        <bgColor indexed="64"/>
      </patternFill>
    </fill>
    <fill>
      <patternFill patternType="solid">
        <fgColor rgb="FFFFCCCC"/>
        <bgColor indexed="64"/>
      </patternFill>
    </fill>
    <fill>
      <patternFill patternType="solid">
        <fgColor theme="9" tint="0.7999799847602844"/>
        <bgColor indexed="64"/>
      </patternFill>
    </fill>
    <fill>
      <patternFill patternType="solid">
        <fgColor theme="2"/>
        <bgColor indexed="64"/>
      </patternFill>
    </fill>
    <fill>
      <patternFill patternType="solid">
        <fgColor theme="4" tint="0.7999799847602844"/>
        <bgColor indexed="64"/>
      </patternFill>
    </fill>
    <fill>
      <patternFill patternType="solid">
        <fgColor theme="0" tint="-0.24997000396251678"/>
        <bgColor indexed="64"/>
      </patternFill>
    </fill>
    <fill>
      <patternFill patternType="solid">
        <fgColor rgb="FFD9CAE8"/>
        <bgColor indexed="64"/>
      </patternFill>
    </fill>
    <fill>
      <patternFill patternType="solid">
        <fgColor rgb="FFFFFFCC"/>
        <bgColor indexed="64"/>
      </patternFill>
    </fill>
    <fill>
      <patternFill patternType="solid">
        <fgColor rgb="FFFFFF00"/>
        <bgColor indexed="64"/>
      </patternFill>
    </fill>
    <fill>
      <patternFill patternType="solid">
        <fgColor rgb="FFFFFF66"/>
        <bgColor indexed="64"/>
      </patternFill>
    </fill>
    <fill>
      <patternFill patternType="solid">
        <fgColor rgb="FFEFF9FF"/>
        <bgColor indexed="64"/>
      </patternFill>
    </fill>
  </fills>
  <borders count="121">
    <border>
      <left/>
      <right/>
      <top/>
      <bottom/>
      <diagonal/>
    </border>
    <border>
      <left/>
      <right style="medium"/>
      <top/>
      <bottom/>
    </border>
    <border>
      <left style="thick"/>
      <right/>
      <top/>
      <bottom/>
    </border>
    <border>
      <left style="medium"/>
      <right style="thin"/>
      <top style="medium"/>
      <bottom style="thick"/>
    </border>
    <border>
      <left style="medium"/>
      <right style="thin"/>
      <top style="thick"/>
      <bottom style="medium"/>
    </border>
    <border>
      <left style="thick"/>
      <right style="medium"/>
      <top style="thick"/>
      <bottom style="medium"/>
    </border>
    <border>
      <left style="thick"/>
      <right style="medium"/>
      <top style="medium"/>
      <bottom style="medium"/>
    </border>
    <border>
      <left style="thick"/>
      <right style="medium"/>
      <top style="thick"/>
      <bottom/>
    </border>
    <border>
      <left style="thick"/>
      <right style="medium"/>
      <top/>
      <bottom/>
    </border>
    <border>
      <left style="medium"/>
      <right style="medium"/>
      <top/>
      <bottom/>
    </border>
    <border>
      <left style="medium"/>
      <right/>
      <top/>
      <bottom/>
    </border>
    <border>
      <left style="medium"/>
      <right style="thick"/>
      <top/>
      <bottom/>
    </border>
    <border>
      <left/>
      <right style="thin"/>
      <top style="thin"/>
      <bottom style="thin"/>
    </border>
    <border>
      <left style="thin"/>
      <right style="thin"/>
      <top style="thin"/>
      <bottom style="thin"/>
    </border>
    <border>
      <left style="thin"/>
      <right style="thick"/>
      <top style="thin"/>
      <bottom style="thin"/>
    </border>
    <border>
      <left style="thick"/>
      <right style="thin"/>
      <top style="thin"/>
      <bottom style="thin"/>
    </border>
    <border>
      <left style="thick"/>
      <right style="medium"/>
      <top style="thin"/>
      <bottom style="thin"/>
    </border>
    <border>
      <left style="thin"/>
      <right/>
      <top style="thin"/>
      <bottom style="thin"/>
    </border>
    <border>
      <left/>
      <right style="thin"/>
      <top style="thin"/>
      <bottom/>
    </border>
    <border>
      <left style="thick"/>
      <right style="thin"/>
      <top/>
      <bottom style="thin"/>
    </border>
    <border>
      <left style="thin"/>
      <right style="thin"/>
      <top/>
      <bottom style="thin"/>
    </border>
    <border>
      <left style="medium"/>
      <right style="medium"/>
      <top style="medium"/>
      <bottom style="medium"/>
    </border>
    <border>
      <left style="thick"/>
      <right style="thick"/>
      <top style="medium"/>
      <bottom style="medium"/>
    </border>
    <border>
      <left style="thin"/>
      <right style="thick"/>
      <top/>
      <bottom style="thin"/>
    </border>
    <border>
      <left style="thick">
        <color theme="0"/>
      </left>
      <right/>
      <top style="thick"/>
      <bottom/>
    </border>
    <border>
      <left/>
      <right style="thick">
        <color theme="0"/>
      </right>
      <top style="thick"/>
      <bottom/>
    </border>
    <border>
      <left style="thick">
        <color theme="0"/>
      </left>
      <right style="thick">
        <color theme="0"/>
      </right>
      <top style="thick"/>
      <bottom/>
    </border>
    <border>
      <left style="thin"/>
      <right style="thin"/>
      <top style="thin"/>
      <bottom style="medium"/>
    </border>
    <border>
      <left/>
      <right/>
      <top/>
      <bottom style="medium"/>
    </border>
    <border>
      <left style="thin"/>
      <right style="thin"/>
      <top/>
      <botto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medium"/>
      <right/>
      <top style="medium"/>
      <bottom style="medium"/>
    </border>
    <border>
      <left style="medium"/>
      <right style="medium"/>
      <top/>
      <bottom style="thin"/>
    </border>
    <border>
      <left/>
      <right/>
      <top/>
      <bottom style="thin"/>
    </border>
    <border>
      <left style="medium"/>
      <right style="medium"/>
      <top/>
      <bottom style="medium"/>
    </border>
    <border>
      <left style="dotted"/>
      <right style="dotted"/>
      <top/>
      <bottom style="thin"/>
    </border>
    <border>
      <left style="dotted"/>
      <right style="dotted"/>
      <top/>
      <bottom style="medium"/>
    </border>
    <border>
      <left style="medium"/>
      <right/>
      <top style="medium"/>
      <bottom style="hair"/>
    </border>
    <border>
      <left style="dotted"/>
      <right style="dotted"/>
      <top style="medium"/>
      <bottom style="hair"/>
    </border>
    <border>
      <left/>
      <right style="medium"/>
      <top style="medium"/>
      <bottom style="hair"/>
    </border>
    <border>
      <left style="dotted"/>
      <right style="dotted"/>
      <top style="hair"/>
      <bottom style="thin"/>
    </border>
    <border>
      <left/>
      <right style="medium"/>
      <top style="hair"/>
      <bottom style="thin"/>
    </border>
    <border>
      <left style="medium"/>
      <right/>
      <top style="thin"/>
      <bottom style="hair"/>
    </border>
    <border>
      <left style="dotted"/>
      <right style="dotted"/>
      <top style="thin"/>
      <bottom style="hair"/>
    </border>
    <border>
      <left/>
      <right style="medium"/>
      <top style="thin"/>
      <bottom style="hair"/>
    </border>
    <border>
      <left/>
      <right style="medium"/>
      <top/>
      <bottom style="thin"/>
    </border>
    <border>
      <left style="medium"/>
      <right style="medium"/>
      <top style="medium"/>
      <bottom style="thin"/>
    </border>
    <border>
      <left style="medium"/>
      <right style="dashed"/>
      <top style="medium"/>
      <bottom style="thin"/>
    </border>
    <border>
      <left style="dashed"/>
      <right style="dashed"/>
      <top style="medium"/>
      <bottom style="thin"/>
    </border>
    <border>
      <left style="dashed"/>
      <right style="medium"/>
      <top style="medium"/>
      <bottom style="thin"/>
    </border>
    <border>
      <left style="medium"/>
      <right style="medium"/>
      <top style="thin"/>
      <bottom style="medium"/>
    </border>
    <border>
      <left style="medium"/>
      <right style="dashed"/>
      <top style="thin"/>
      <bottom style="medium"/>
    </border>
    <border>
      <left style="dashed"/>
      <right style="dashed"/>
      <top style="thin"/>
      <bottom style="medium"/>
    </border>
    <border>
      <left style="dashed"/>
      <right style="medium"/>
      <top style="thin"/>
      <bottom style="medium"/>
    </border>
    <border>
      <left style="medium"/>
      <right style="dashed"/>
      <top style="medium"/>
      <bottom style="medium"/>
    </border>
    <border>
      <left style="dashed"/>
      <right style="dashed"/>
      <top style="medium"/>
      <bottom style="medium"/>
    </border>
    <border>
      <left style="dashed"/>
      <right style="medium"/>
      <top style="medium"/>
      <bottom style="medium"/>
    </border>
    <border>
      <left style="medium"/>
      <right style="medium"/>
      <top style="medium"/>
      <bottom/>
    </border>
    <border>
      <left style="medium"/>
      <right style="medium"/>
      <top style="thin"/>
      <bottom/>
    </border>
    <border>
      <left style="thin"/>
      <right/>
      <top/>
      <bottom style="thin"/>
    </border>
    <border>
      <left style="thick"/>
      <right style="medium"/>
      <top style="thin"/>
      <bottom style="medium"/>
    </border>
    <border>
      <left style="thin"/>
      <right/>
      <top style="thin"/>
      <bottom style="medium"/>
    </border>
    <border>
      <left style="thin"/>
      <right style="thick"/>
      <top style="thin"/>
      <bottom style="medium"/>
    </border>
    <border>
      <left style="thick"/>
      <right style="thin"/>
      <top style="thin"/>
      <bottom style="medium"/>
    </border>
    <border>
      <left style="thick"/>
      <right style="medium"/>
      <top/>
      <bottom style="thin"/>
    </border>
    <border>
      <left/>
      <right style="thin"/>
      <top/>
      <bottom style="thin"/>
    </border>
    <border>
      <left/>
      <right style="thin"/>
      <top style="thin"/>
      <bottom style="medium"/>
    </border>
    <border>
      <left style="thin"/>
      <right style="thin"/>
      <top style="thin"/>
      <bottom/>
    </border>
    <border>
      <left style="medium"/>
      <right/>
      <top style="hair"/>
      <bottom style="thin"/>
    </border>
    <border>
      <left style="medium"/>
      <right/>
      <top/>
      <bottom style="thin"/>
    </border>
    <border>
      <left style="medium"/>
      <right style="thin"/>
      <top style="thin"/>
      <bottom style="medium"/>
    </border>
    <border>
      <left style="medium"/>
      <right style="medium"/>
      <top style="medium"/>
      <bottom style="thick">
        <color theme="0"/>
      </bottom>
    </border>
    <border>
      <left style="medium"/>
      <right/>
      <top style="thick"/>
      <bottom style="thin"/>
    </border>
    <border>
      <left style="medium"/>
      <right/>
      <top style="thin"/>
      <bottom style="thin"/>
    </border>
    <border>
      <left style="medium"/>
      <right/>
      <top style="thin"/>
      <bottom style="medium"/>
    </border>
    <border>
      <left style="thin"/>
      <right style="thin"/>
      <top/>
      <bottom style="medium"/>
    </border>
    <border>
      <left style="thin"/>
      <right style="thin"/>
      <top style="medium"/>
      <bottom/>
    </border>
    <border>
      <left style="thin"/>
      <right style="medium"/>
      <top style="medium"/>
      <bottom/>
    </border>
    <border>
      <left style="thin"/>
      <right style="medium"/>
      <top style="thin"/>
      <bottom style="thin"/>
    </border>
    <border>
      <left style="thin"/>
      <right style="medium"/>
      <top style="thin"/>
      <bottom style="medium"/>
    </border>
    <border>
      <left style="thin"/>
      <right style="medium"/>
      <top/>
      <bottom style="thin"/>
    </border>
    <border>
      <left/>
      <right/>
      <top style="medium"/>
      <bottom style="medium"/>
    </border>
    <border>
      <left/>
      <right style="medium"/>
      <top style="medium"/>
      <bottom style="medium"/>
    </border>
    <border>
      <left style="medium"/>
      <right style="thin"/>
      <top/>
      <bottom style="thin"/>
    </border>
    <border>
      <left style="medium"/>
      <right style="thin"/>
      <top style="thin"/>
      <bottom style="thin"/>
    </border>
    <border>
      <left style="thick"/>
      <right style="medium"/>
      <top style="thin"/>
      <bottom/>
    </border>
    <border>
      <left style="medium"/>
      <right style="medium"/>
      <top style="thin"/>
      <bottom style="thin"/>
    </border>
    <border>
      <left style="thin"/>
      <right style="thick"/>
      <top/>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bottom style="medium"/>
    </border>
    <border>
      <left style="thick"/>
      <right/>
      <top style="thick">
        <color theme="0"/>
      </top>
      <bottom/>
    </border>
    <border>
      <left/>
      <right/>
      <top style="thick">
        <color theme="0"/>
      </top>
      <bottom/>
    </border>
    <border>
      <left/>
      <right style="thick"/>
      <top style="thick">
        <color theme="0"/>
      </top>
      <bottom/>
    </border>
    <border>
      <left style="thin"/>
      <right/>
      <top style="medium"/>
      <bottom style="thick"/>
    </border>
    <border>
      <left/>
      <right/>
      <top style="medium"/>
      <bottom style="thick"/>
    </border>
    <border>
      <left/>
      <right style="medium"/>
      <top style="medium"/>
      <bottom style="thick"/>
    </border>
    <border>
      <left style="thin"/>
      <right/>
      <top style="thick"/>
      <bottom style="medium"/>
    </border>
    <border>
      <left/>
      <right/>
      <top style="thick"/>
      <bottom style="medium"/>
    </border>
    <border>
      <left/>
      <right style="medium"/>
      <top style="thick"/>
      <bottom style="medium"/>
    </border>
    <border>
      <left/>
      <right style="thick"/>
      <top style="medium"/>
      <bottom style="medium"/>
    </border>
    <border>
      <left style="thick"/>
      <right/>
      <top style="thick"/>
      <bottom style="thick">
        <color theme="0"/>
      </bottom>
    </border>
    <border>
      <left/>
      <right/>
      <top style="thick"/>
      <bottom style="thick">
        <color theme="0"/>
      </bottom>
    </border>
    <border>
      <left/>
      <right style="thick"/>
      <top style="thick"/>
      <bottom style="thick">
        <color theme="0"/>
      </bottom>
    </border>
    <border>
      <left/>
      <right style="thick"/>
      <top style="thick"/>
      <bottom style="medium"/>
    </border>
    <border>
      <left style="medium"/>
      <right/>
      <top style="thick"/>
      <bottom style="medium"/>
    </border>
    <border>
      <left style="thick"/>
      <right/>
      <top style="thick">
        <color theme="0"/>
      </top>
      <bottom style="thick">
        <color theme="0"/>
      </bottom>
    </border>
    <border>
      <left/>
      <right/>
      <top style="thick">
        <color theme="0"/>
      </top>
      <bottom style="thick">
        <color theme="0"/>
      </bottom>
    </border>
    <border>
      <left/>
      <right style="thick"/>
      <top style="thick">
        <color theme="0"/>
      </top>
      <bottom style="thick">
        <color theme="0"/>
      </bottom>
    </border>
    <border>
      <left style="thick"/>
      <right/>
      <top style="thick"/>
      <bottom/>
    </border>
    <border>
      <left/>
      <right/>
      <top style="thick"/>
      <bottom/>
    </border>
    <border>
      <left/>
      <right style="thick"/>
      <top style="thick"/>
      <bottom/>
    </border>
    <border>
      <left/>
      <right style="thick"/>
      <top/>
      <bottom/>
    </border>
    <border>
      <left style="thick"/>
      <right/>
      <top/>
      <bottom style="thick"/>
    </border>
    <border>
      <left/>
      <right/>
      <top/>
      <bottom style="thick"/>
    </border>
    <border>
      <left/>
      <right style="thick"/>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627">
    <xf numFmtId="0" fontId="0" fillId="0" borderId="0" xfId="0"/>
    <xf numFmtId="0" fontId="0" fillId="0" borderId="0" xfId="0" applyFill="1" applyBorder="1" applyProtection="1">
      <protection/>
    </xf>
    <xf numFmtId="0" fontId="4" fillId="0" borderId="0" xfId="0" applyFont="1" applyFill="1" applyBorder="1" applyAlignment="1" applyProtection="1">
      <alignment horizontal="center" vertical="center" wrapText="1"/>
      <protection/>
    </xf>
    <xf numFmtId="0" fontId="0" fillId="0" borderId="0" xfId="0" applyProtection="1">
      <protection/>
    </xf>
    <xf numFmtId="0" fontId="5" fillId="0" borderId="0" xfId="0" applyFont="1" applyFill="1" applyBorder="1" applyAlignment="1" applyProtection="1">
      <alignment vertical="center" wrapText="1"/>
      <protection/>
    </xf>
    <xf numFmtId="0" fontId="0" fillId="0" borderId="0" xfId="0" applyBorder="1" applyProtection="1">
      <protection/>
    </xf>
    <xf numFmtId="0" fontId="6" fillId="0" borderId="0" xfId="0" applyFont="1" applyBorder="1" applyAlignment="1" applyProtection="1">
      <alignment vertical="top"/>
      <protection/>
    </xf>
    <xf numFmtId="0" fontId="7" fillId="0" borderId="0" xfId="0" applyFont="1" applyAlignment="1" applyProtection="1">
      <alignment horizontal="center" vertical="center"/>
      <protection/>
    </xf>
    <xf numFmtId="0" fontId="10" fillId="0" borderId="0" xfId="0" applyFont="1" applyAlignment="1" applyProtection="1">
      <alignment vertical="top" wrapText="1"/>
      <protection/>
    </xf>
    <xf numFmtId="0" fontId="11" fillId="0" borderId="0" xfId="0" applyFont="1" applyFill="1" applyAlignment="1" applyProtection="1">
      <alignment wrapText="1"/>
      <protection/>
    </xf>
    <xf numFmtId="0" fontId="0" fillId="0" borderId="1" xfId="0" applyBorder="1" applyProtection="1">
      <protection/>
    </xf>
    <xf numFmtId="0" fontId="4" fillId="0" borderId="2"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top" wrapText="1"/>
      <protection locked="0"/>
    </xf>
    <xf numFmtId="0" fontId="8" fillId="2" borderId="3" xfId="0" applyFont="1" applyFill="1" applyBorder="1" applyAlignment="1" applyProtection="1">
      <alignment horizontal="right" vertical="center" wrapText="1"/>
      <protection locked="0"/>
    </xf>
    <xf numFmtId="0" fontId="8" fillId="2" borderId="4" xfId="0" applyFont="1" applyFill="1" applyBorder="1" applyAlignment="1" applyProtection="1">
      <alignment horizontal="right" vertical="center" wrapText="1"/>
      <protection locked="0"/>
    </xf>
    <xf numFmtId="0" fontId="0" fillId="0" borderId="0" xfId="0" applyBorder="1" applyAlignment="1" applyProtection="1">
      <alignment horizontal="left" vertical="top" wrapText="1"/>
      <protection/>
    </xf>
    <xf numFmtId="0" fontId="0" fillId="0" borderId="0" xfId="0" applyBorder="1" applyAlignment="1" applyProtection="1">
      <alignment horizontal="left" vertical="top" wrapText="1"/>
      <protection locked="0"/>
    </xf>
    <xf numFmtId="0" fontId="0" fillId="0" borderId="0" xfId="0" applyBorder="1" applyProtection="1">
      <protection locked="0"/>
    </xf>
    <xf numFmtId="0" fontId="0" fillId="0" borderId="0" xfId="0" applyProtection="1">
      <protection locked="0"/>
    </xf>
    <xf numFmtId="0" fontId="17" fillId="0" borderId="0" xfId="0" applyFont="1" applyBorder="1" applyAlignment="1" applyProtection="1">
      <alignment horizontal="left" vertical="top" wrapText="1"/>
      <protection locked="0"/>
    </xf>
    <xf numFmtId="0" fontId="21" fillId="0" borderId="0" xfId="0" applyFont="1" applyBorder="1" applyProtection="1">
      <protection locked="0"/>
    </xf>
    <xf numFmtId="7" fontId="17" fillId="0" borderId="0" xfId="0" applyNumberFormat="1"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xf>
    <xf numFmtId="7" fontId="17" fillId="0" borderId="0" xfId="0" applyNumberFormat="1" applyFont="1" applyBorder="1" applyAlignment="1" applyProtection="1">
      <alignment horizontal="left" vertical="top" wrapText="1"/>
      <protection/>
    </xf>
    <xf numFmtId="0" fontId="10" fillId="0" borderId="5" xfId="0" applyFont="1" applyFill="1" applyBorder="1" applyAlignment="1" applyProtection="1">
      <alignment horizontal="left"/>
      <protection/>
    </xf>
    <xf numFmtId="0" fontId="10" fillId="0" borderId="5" xfId="0" applyFont="1" applyFill="1" applyBorder="1" applyAlignment="1" applyProtection="1">
      <alignment horizontal="left"/>
      <protection locked="0"/>
    </xf>
    <xf numFmtId="0" fontId="10" fillId="2" borderId="5" xfId="0" applyFont="1" applyFill="1" applyBorder="1" applyAlignment="1" applyProtection="1">
      <alignment horizontal="left"/>
      <protection locked="0"/>
    </xf>
    <xf numFmtId="0" fontId="10" fillId="0" borderId="6" xfId="0" applyFont="1" applyFill="1" applyBorder="1" applyAlignment="1" applyProtection="1">
      <alignment horizontal="right" wrapText="1"/>
      <protection/>
    </xf>
    <xf numFmtId="0" fontId="10" fillId="0" borderId="6" xfId="0" applyFont="1" applyFill="1" applyBorder="1" applyAlignment="1" applyProtection="1">
      <alignment horizontal="right" wrapText="1"/>
      <protection locked="0"/>
    </xf>
    <xf numFmtId="0" fontId="15" fillId="2" borderId="7" xfId="0" applyFont="1" applyFill="1" applyBorder="1" applyAlignment="1" applyProtection="1">
      <alignment horizontal="center" vertical="center" wrapText="1"/>
      <protection/>
    </xf>
    <xf numFmtId="0" fontId="15" fillId="2" borderId="8" xfId="0" applyFont="1" applyFill="1" applyBorder="1" applyAlignment="1" applyProtection="1">
      <alignment horizontal="center" vertical="center" wrapText="1"/>
      <protection/>
    </xf>
    <xf numFmtId="0" fontId="15" fillId="2" borderId="9" xfId="0" applyFont="1" applyFill="1" applyBorder="1" applyAlignment="1" applyProtection="1">
      <alignment horizontal="center" vertical="center" wrapText="1"/>
      <protection/>
    </xf>
    <xf numFmtId="0" fontId="15" fillId="2" borderId="10" xfId="0" applyFont="1" applyFill="1" applyBorder="1" applyAlignment="1" applyProtection="1">
      <alignment horizontal="center" vertical="center" wrapText="1"/>
      <protection/>
    </xf>
    <xf numFmtId="0" fontId="15" fillId="2" borderId="11" xfId="0" applyFont="1" applyFill="1" applyBorder="1" applyAlignment="1" applyProtection="1">
      <alignment horizontal="center" vertical="center" wrapText="1"/>
      <protection/>
    </xf>
    <xf numFmtId="0" fontId="15" fillId="2" borderId="8" xfId="0" applyFont="1" applyFill="1" applyBorder="1" applyAlignment="1" applyProtection="1">
      <alignment horizontal="center" vertical="center" wrapText="1"/>
      <protection locked="0"/>
    </xf>
    <xf numFmtId="0" fontId="15" fillId="2" borderId="9"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wrapText="1"/>
      <protection locked="0"/>
    </xf>
    <xf numFmtId="3" fontId="10" fillId="3" borderId="12" xfId="0" applyNumberFormat="1" applyFont="1" applyFill="1" applyBorder="1" applyAlignment="1" applyProtection="1">
      <alignment horizontal="center" vertical="center"/>
      <protection locked="0"/>
    </xf>
    <xf numFmtId="165" fontId="10" fillId="3" borderId="13" xfId="0" applyNumberFormat="1" applyFont="1" applyFill="1" applyBorder="1" applyAlignment="1" applyProtection="1">
      <alignment horizontal="center" vertical="center"/>
      <protection locked="0"/>
    </xf>
    <xf numFmtId="7" fontId="10" fillId="3" borderId="14" xfId="0" applyNumberFormat="1" applyFont="1" applyFill="1" applyBorder="1" applyAlignment="1" applyProtection="1">
      <alignment horizontal="center" vertical="center"/>
      <protection locked="0"/>
    </xf>
    <xf numFmtId="3" fontId="10" fillId="3" borderId="15" xfId="0" applyNumberFormat="1" applyFont="1" applyFill="1" applyBorder="1" applyAlignment="1" applyProtection="1">
      <alignment horizontal="center" vertical="center"/>
      <protection locked="0"/>
    </xf>
    <xf numFmtId="7" fontId="10" fillId="3" borderId="13" xfId="0" applyNumberFormat="1" applyFont="1" applyFill="1" applyBorder="1" applyAlignment="1" applyProtection="1">
      <alignment horizontal="center" vertical="center"/>
      <protection locked="0"/>
    </xf>
    <xf numFmtId="164" fontId="10" fillId="4" borderId="16" xfId="0" applyNumberFormat="1" applyFont="1" applyFill="1" applyBorder="1" applyAlignment="1" applyProtection="1">
      <alignment horizontal="right" vertical="center"/>
      <protection locked="0"/>
    </xf>
    <xf numFmtId="3" fontId="10" fillId="3" borderId="17" xfId="0" applyNumberFormat="1" applyFont="1" applyFill="1" applyBorder="1" applyAlignment="1" applyProtection="1">
      <alignment horizontal="center" vertical="center"/>
      <protection locked="0"/>
    </xf>
    <xf numFmtId="164" fontId="10" fillId="4" borderId="15" xfId="0" applyNumberFormat="1" applyFont="1" applyFill="1" applyBorder="1" applyAlignment="1" applyProtection="1">
      <alignment horizontal="left" vertical="center"/>
      <protection/>
    </xf>
    <xf numFmtId="1" fontId="10" fillId="3" borderId="13" xfId="18" applyNumberFormat="1" applyFont="1" applyFill="1" applyBorder="1" applyAlignment="1" applyProtection="1">
      <alignment horizontal="center" vertical="center"/>
      <protection locked="0"/>
    </xf>
    <xf numFmtId="3" fontId="10" fillId="3" borderId="17" xfId="0" applyNumberFormat="1" applyFont="1" applyFill="1" applyBorder="1" applyAlignment="1" applyProtection="1" quotePrefix="1">
      <alignment horizontal="center" vertical="center"/>
      <protection locked="0"/>
    </xf>
    <xf numFmtId="3" fontId="10" fillId="3" borderId="18" xfId="0" applyNumberFormat="1" applyFont="1" applyFill="1" applyBorder="1" applyAlignment="1" applyProtection="1">
      <alignment horizontal="center" vertical="center"/>
      <protection locked="0"/>
    </xf>
    <xf numFmtId="165" fontId="0" fillId="0" borderId="0" xfId="0" applyNumberFormat="1" applyProtection="1">
      <protection/>
    </xf>
    <xf numFmtId="0" fontId="0" fillId="0" borderId="0" xfId="0" applyBorder="1" applyAlignment="1" applyProtection="1">
      <alignment vertical="top" wrapText="1"/>
      <protection/>
    </xf>
    <xf numFmtId="0" fontId="0" fillId="0" borderId="0" xfId="0" applyAlignment="1">
      <alignment wrapText="1"/>
    </xf>
    <xf numFmtId="0" fontId="0" fillId="0" borderId="0" xfId="0" applyAlignment="1">
      <alignment horizontal="center" wrapText="1"/>
    </xf>
    <xf numFmtId="0" fontId="0" fillId="0" borderId="0" xfId="0" applyFill="1" applyBorder="1" applyAlignment="1">
      <alignment horizontal="center" wrapText="1"/>
    </xf>
    <xf numFmtId="164" fontId="10" fillId="5" borderId="16" xfId="0" applyNumberFormat="1" applyFont="1" applyFill="1" applyBorder="1" applyAlignment="1" applyProtection="1">
      <alignment horizontal="right" vertical="center"/>
      <protection locked="0"/>
    </xf>
    <xf numFmtId="169" fontId="0" fillId="0" borderId="0" xfId="0" applyNumberFormat="1"/>
    <xf numFmtId="2" fontId="0" fillId="0" borderId="0" xfId="0" applyNumberFormat="1"/>
    <xf numFmtId="168" fontId="0" fillId="0" borderId="0" xfId="0" applyNumberFormat="1"/>
    <xf numFmtId="170" fontId="0" fillId="0" borderId="0" xfId="18" applyNumberFormat="1" applyFont="1"/>
    <xf numFmtId="43" fontId="0" fillId="0" borderId="0" xfId="0" applyNumberFormat="1"/>
    <xf numFmtId="1" fontId="9" fillId="3" borderId="13" xfId="18" applyNumberFormat="1" applyFont="1" applyFill="1" applyBorder="1" applyAlignment="1" applyProtection="1">
      <alignment horizontal="center" vertical="center"/>
      <protection locked="0"/>
    </xf>
    <xf numFmtId="164" fontId="10" fillId="4" borderId="19" xfId="0" applyNumberFormat="1" applyFont="1" applyFill="1" applyBorder="1" applyAlignment="1" applyProtection="1">
      <alignment horizontal="left" vertical="center"/>
      <protection/>
    </xf>
    <xf numFmtId="1" fontId="10" fillId="3" borderId="20" xfId="18" applyNumberFormat="1" applyFont="1" applyFill="1" applyBorder="1" applyAlignment="1" applyProtection="1">
      <alignment horizontal="center" vertical="center"/>
      <protection locked="0"/>
    </xf>
    <xf numFmtId="165" fontId="10" fillId="3" borderId="20" xfId="0" applyNumberFormat="1" applyFont="1" applyFill="1" applyBorder="1" applyAlignment="1" applyProtection="1">
      <alignment horizontal="center" vertical="center"/>
      <protection locked="0"/>
    </xf>
    <xf numFmtId="0" fontId="25" fillId="2" borderId="21" xfId="0" applyFont="1" applyFill="1" applyBorder="1" applyAlignment="1" applyProtection="1">
      <alignment horizontal="center" vertical="center" wrapText="1"/>
      <protection/>
    </xf>
    <xf numFmtId="0" fontId="25" fillId="2" borderId="6" xfId="0" applyFont="1" applyFill="1" applyBorder="1" applyAlignment="1" applyProtection="1">
      <alignment horizontal="center" vertical="center" wrapText="1"/>
      <protection/>
    </xf>
    <xf numFmtId="0" fontId="25" fillId="2" borderId="22" xfId="0" applyFont="1" applyFill="1" applyBorder="1" applyAlignment="1" applyProtection="1">
      <alignment horizontal="center" vertical="center" wrapText="1"/>
      <protection/>
    </xf>
    <xf numFmtId="1" fontId="10" fillId="6" borderId="23" xfId="0" applyNumberFormat="1" applyFont="1" applyFill="1" applyBorder="1" applyAlignment="1" applyProtection="1">
      <alignment horizontal="center" vertical="center"/>
      <protection/>
    </xf>
    <xf numFmtId="0" fontId="0" fillId="0" borderId="0" xfId="0" applyBorder="1" applyAlignment="1" applyProtection="1">
      <alignment wrapText="1"/>
      <protection/>
    </xf>
    <xf numFmtId="0" fontId="8" fillId="0" borderId="0" xfId="0" applyFont="1" applyFill="1" applyBorder="1" applyAlignment="1" applyProtection="1">
      <alignment vertical="center" wrapText="1"/>
      <protection locked="0"/>
    </xf>
    <xf numFmtId="0" fontId="0" fillId="0" borderId="24" xfId="0" applyBorder="1" applyAlignment="1" applyProtection="1">
      <alignment wrapText="1"/>
      <protection/>
    </xf>
    <xf numFmtId="0" fontId="13" fillId="0" borderId="25" xfId="0" applyFont="1" applyBorder="1" applyAlignment="1" applyProtection="1">
      <alignment horizontal="center" vertical="center" wrapText="1"/>
      <protection/>
    </xf>
    <xf numFmtId="0" fontId="13" fillId="0" borderId="26" xfId="0" applyFont="1" applyBorder="1" applyAlignment="1" applyProtection="1">
      <alignment horizontal="center" vertical="center" wrapText="1"/>
      <protection/>
    </xf>
    <xf numFmtId="0" fontId="0" fillId="0" borderId="26" xfId="0" applyBorder="1" applyAlignment="1" applyProtection="1">
      <alignment wrapText="1"/>
      <protection/>
    </xf>
    <xf numFmtId="0" fontId="0" fillId="0" borderId="0" xfId="0" applyFont="1" applyBorder="1" applyAlignment="1">
      <alignment horizontal="center" wrapText="1"/>
    </xf>
    <xf numFmtId="0" fontId="0" fillId="0" borderId="0" xfId="0" applyFont="1" applyFill="1" applyBorder="1" applyAlignment="1">
      <alignment horizontal="center" wrapText="1"/>
    </xf>
    <xf numFmtId="0" fontId="0" fillId="0" borderId="0" xfId="0" applyAlignment="1">
      <alignment horizontal="center"/>
    </xf>
    <xf numFmtId="0" fontId="0" fillId="0" borderId="13" xfId="0" applyBorder="1" applyAlignment="1">
      <alignment horizontal="center"/>
    </xf>
    <xf numFmtId="171" fontId="0" fillId="7" borderId="13" xfId="0" applyNumberFormat="1" applyFill="1" applyBorder="1"/>
    <xf numFmtId="2" fontId="2" fillId="0" borderId="13" xfId="0" applyNumberFormat="1" applyFont="1" applyBorder="1" applyAlignment="1">
      <alignment horizontal="center"/>
    </xf>
    <xf numFmtId="168" fontId="2" fillId="0" borderId="13" xfId="0" applyNumberFormat="1" applyFont="1" applyBorder="1" applyAlignment="1">
      <alignment horizontal="center"/>
    </xf>
    <xf numFmtId="170" fontId="2" fillId="0" borderId="13" xfId="18" applyNumberFormat="1" applyFont="1" applyBorder="1" applyAlignment="1">
      <alignment horizontal="center"/>
    </xf>
    <xf numFmtId="3" fontId="2" fillId="0" borderId="13" xfId="0" applyNumberFormat="1" applyFont="1" applyBorder="1" applyAlignment="1">
      <alignment horizontal="center"/>
    </xf>
    <xf numFmtId="43" fontId="2" fillId="0" borderId="13" xfId="0" applyNumberFormat="1" applyFont="1" applyBorder="1" applyAlignment="1">
      <alignment horizontal="center"/>
    </xf>
    <xf numFmtId="7" fontId="2" fillId="0" borderId="13" xfId="0" applyNumberFormat="1" applyFont="1" applyBorder="1" applyAlignment="1">
      <alignment horizontal="center"/>
    </xf>
    <xf numFmtId="0" fontId="2" fillId="0" borderId="13" xfId="0" applyFont="1" applyBorder="1" applyAlignment="1">
      <alignment horizontal="center"/>
    </xf>
    <xf numFmtId="1" fontId="2" fillId="0" borderId="13" xfId="0" applyNumberFormat="1" applyFont="1" applyBorder="1" applyAlignment="1">
      <alignment horizontal="center"/>
    </xf>
    <xf numFmtId="171" fontId="0" fillId="8" borderId="13" xfId="0" applyNumberFormat="1" applyFill="1" applyBorder="1"/>
    <xf numFmtId="0" fontId="0" fillId="0" borderId="20" xfId="0" applyBorder="1" applyAlignment="1">
      <alignment horizontal="center"/>
    </xf>
    <xf numFmtId="171" fontId="0" fillId="7" borderId="20" xfId="0" applyNumberFormat="1" applyFill="1" applyBorder="1"/>
    <xf numFmtId="168" fontId="2" fillId="0" borderId="20" xfId="0" applyNumberFormat="1" applyFont="1" applyBorder="1" applyAlignment="1">
      <alignment horizontal="center"/>
    </xf>
    <xf numFmtId="170" fontId="2" fillId="0" borderId="20" xfId="18" applyNumberFormat="1" applyFont="1" applyBorder="1" applyAlignment="1">
      <alignment horizontal="center"/>
    </xf>
    <xf numFmtId="3" fontId="2" fillId="0" borderId="20" xfId="0" applyNumberFormat="1" applyFont="1" applyBorder="1" applyAlignment="1">
      <alignment horizontal="center"/>
    </xf>
    <xf numFmtId="43" fontId="2" fillId="0" borderId="20" xfId="0" applyNumberFormat="1" applyFont="1" applyBorder="1" applyAlignment="1">
      <alignment horizontal="center"/>
    </xf>
    <xf numFmtId="7" fontId="2" fillId="0" borderId="20" xfId="0" applyNumberFormat="1" applyFont="1" applyBorder="1" applyAlignment="1">
      <alignment horizontal="center"/>
    </xf>
    <xf numFmtId="0" fontId="2" fillId="0" borderId="20" xfId="0" applyFont="1" applyBorder="1" applyAlignment="1">
      <alignment horizontal="center"/>
    </xf>
    <xf numFmtId="0" fontId="0" fillId="0" borderId="27" xfId="0" applyBorder="1" applyAlignment="1">
      <alignment horizontal="center"/>
    </xf>
    <xf numFmtId="171" fontId="0" fillId="7" borderId="27" xfId="0" applyNumberFormat="1" applyFill="1" applyBorder="1"/>
    <xf numFmtId="168" fontId="2" fillId="0" borderId="27" xfId="0" applyNumberFormat="1" applyFont="1" applyBorder="1" applyAlignment="1">
      <alignment horizontal="center"/>
    </xf>
    <xf numFmtId="170" fontId="2" fillId="0" borderId="27" xfId="18" applyNumberFormat="1" applyFont="1" applyBorder="1" applyAlignment="1">
      <alignment horizontal="center"/>
    </xf>
    <xf numFmtId="3" fontId="2" fillId="0" borderId="27" xfId="0" applyNumberFormat="1" applyFont="1" applyBorder="1" applyAlignment="1">
      <alignment horizontal="center"/>
    </xf>
    <xf numFmtId="43" fontId="2" fillId="0" borderId="27" xfId="0" applyNumberFormat="1" applyFont="1" applyBorder="1" applyAlignment="1">
      <alignment horizontal="center"/>
    </xf>
    <xf numFmtId="7" fontId="2" fillId="0" borderId="27" xfId="0" applyNumberFormat="1" applyFont="1" applyBorder="1" applyAlignment="1">
      <alignment horizontal="center"/>
    </xf>
    <xf numFmtId="0" fontId="2" fillId="0" borderId="27" xfId="0" applyFont="1" applyBorder="1" applyAlignment="1">
      <alignment horizontal="center"/>
    </xf>
    <xf numFmtId="0" fontId="0" fillId="0" borderId="28" xfId="0" applyBorder="1"/>
    <xf numFmtId="171" fontId="0" fillId="8" borderId="20" xfId="0" applyNumberFormat="1" applyFill="1" applyBorder="1"/>
    <xf numFmtId="171" fontId="0" fillId="8" borderId="27" xfId="0" applyNumberFormat="1" applyFill="1" applyBorder="1"/>
    <xf numFmtId="0" fontId="0" fillId="2" borderId="0" xfId="0" applyFill="1"/>
    <xf numFmtId="0" fontId="0" fillId="2" borderId="0" xfId="0" applyFill="1" applyAlignment="1">
      <alignment horizontal="center" wrapText="1"/>
    </xf>
    <xf numFmtId="0" fontId="0" fillId="2" borderId="0" xfId="0" applyFill="1" applyAlignment="1">
      <alignment wrapText="1"/>
    </xf>
    <xf numFmtId="7" fontId="2" fillId="2" borderId="13" xfId="0" applyNumberFormat="1" applyFont="1" applyFill="1" applyBorder="1" applyAlignment="1">
      <alignment horizontal="center"/>
    </xf>
    <xf numFmtId="7" fontId="2" fillId="2" borderId="27" xfId="0" applyNumberFormat="1" applyFont="1" applyFill="1" applyBorder="1" applyAlignment="1">
      <alignment horizontal="center"/>
    </xf>
    <xf numFmtId="7" fontId="2" fillId="2" borderId="20" xfId="0" applyNumberFormat="1" applyFont="1" applyFill="1" applyBorder="1" applyAlignment="1">
      <alignment horizontal="center"/>
    </xf>
    <xf numFmtId="0" fontId="0" fillId="2" borderId="0" xfId="0" applyFill="1" applyBorder="1"/>
    <xf numFmtId="0" fontId="0" fillId="2" borderId="0" xfId="0" applyFill="1" applyBorder="1" applyAlignment="1">
      <alignment horizontal="center" wrapText="1"/>
    </xf>
    <xf numFmtId="0" fontId="2" fillId="2" borderId="29" xfId="0" applyFont="1" applyFill="1" applyBorder="1" applyAlignment="1">
      <alignment horizontal="center"/>
    </xf>
    <xf numFmtId="0" fontId="0" fillId="2" borderId="0" xfId="0" applyFill="1" applyBorder="1" applyAlignment="1">
      <alignment wrapText="1"/>
    </xf>
    <xf numFmtId="173" fontId="0" fillId="0" borderId="0" xfId="0" applyNumberFormat="1"/>
    <xf numFmtId="169" fontId="0" fillId="0" borderId="30" xfId="0" applyNumberFormat="1" applyFill="1" applyBorder="1"/>
    <xf numFmtId="0" fontId="0" fillId="0" borderId="31" xfId="0" applyFill="1" applyBorder="1"/>
    <xf numFmtId="0" fontId="2" fillId="0" borderId="31" xfId="0" applyFont="1" applyFill="1" applyBorder="1" applyAlignment="1">
      <alignment horizontal="center"/>
    </xf>
    <xf numFmtId="0" fontId="0" fillId="0" borderId="32" xfId="0" applyFill="1" applyBorder="1"/>
    <xf numFmtId="169" fontId="0" fillId="0" borderId="10" xfId="0" applyNumberFormat="1" applyFill="1" applyBorder="1" applyAlignment="1">
      <alignment wrapText="1"/>
    </xf>
    <xf numFmtId="169" fontId="0" fillId="0" borderId="0" xfId="0" applyNumberFormat="1" applyFill="1" applyBorder="1" applyAlignment="1">
      <alignment wrapText="1"/>
    </xf>
    <xf numFmtId="0" fontId="0" fillId="0" borderId="0" xfId="0" applyFill="1" applyBorder="1" applyAlignment="1">
      <alignment wrapText="1"/>
    </xf>
    <xf numFmtId="0" fontId="0" fillId="0" borderId="1" xfId="0" applyFill="1" applyBorder="1" applyAlignment="1">
      <alignment wrapText="1"/>
    </xf>
    <xf numFmtId="172" fontId="0" fillId="0" borderId="0" xfId="0" applyNumberFormat="1" applyFill="1" applyBorder="1" applyAlignment="1">
      <alignment wrapText="1"/>
    </xf>
    <xf numFmtId="0" fontId="0" fillId="0" borderId="10" xfId="0" applyNumberFormat="1" applyFill="1" applyBorder="1" applyAlignment="1">
      <alignment horizontal="center"/>
    </xf>
    <xf numFmtId="0" fontId="0" fillId="0" borderId="0" xfId="0" applyNumberFormat="1" applyFill="1" applyBorder="1" applyAlignment="1">
      <alignment horizontal="center" wrapText="1"/>
    </xf>
    <xf numFmtId="2" fontId="0" fillId="0" borderId="0" xfId="0" applyNumberFormat="1" applyFill="1" applyBorder="1" applyAlignment="1">
      <alignment horizontal="center"/>
    </xf>
    <xf numFmtId="168" fontId="0" fillId="0" borderId="0" xfId="0" applyNumberFormat="1" applyFill="1" applyBorder="1" applyAlignment="1">
      <alignment horizontal="center"/>
    </xf>
    <xf numFmtId="0" fontId="0" fillId="0" borderId="0" xfId="0" applyFill="1" applyBorder="1"/>
    <xf numFmtId="170" fontId="0" fillId="0" borderId="0" xfId="18" applyNumberFormat="1" applyFont="1" applyFill="1" applyBorder="1"/>
    <xf numFmtId="0" fontId="0" fillId="0" borderId="1" xfId="0" applyFill="1" applyBorder="1" applyAlignment="1">
      <alignment horizontal="center"/>
    </xf>
    <xf numFmtId="169" fontId="0" fillId="0" borderId="10" xfId="0" applyNumberFormat="1" applyFill="1" applyBorder="1"/>
    <xf numFmtId="0" fontId="0" fillId="0" borderId="1" xfId="0" applyFill="1" applyBorder="1"/>
    <xf numFmtId="0" fontId="2" fillId="0" borderId="0" xfId="0" applyFont="1" applyFill="1" applyBorder="1" applyAlignment="1">
      <alignment horizontal="center"/>
    </xf>
    <xf numFmtId="170" fontId="0" fillId="0" borderId="0" xfId="0" applyNumberFormat="1" applyFill="1" applyBorder="1"/>
    <xf numFmtId="43" fontId="0" fillId="0" borderId="0" xfId="0" applyNumberFormat="1" applyFill="1" applyBorder="1"/>
    <xf numFmtId="1" fontId="0" fillId="0" borderId="0" xfId="0" applyNumberFormat="1" applyFill="1" applyBorder="1" applyAlignment="1">
      <alignment horizontal="center"/>
    </xf>
    <xf numFmtId="1" fontId="0" fillId="0" borderId="0" xfId="0" applyNumberFormat="1" applyFill="1" applyBorder="1"/>
    <xf numFmtId="173" fontId="0" fillId="0" borderId="0" xfId="0" applyNumberFormat="1" applyFill="1" applyBorder="1"/>
    <xf numFmtId="165" fontId="0" fillId="0" borderId="0" xfId="0" applyNumberFormat="1" applyFill="1" applyBorder="1"/>
    <xf numFmtId="0" fontId="0" fillId="0" borderId="33" xfId="0" applyNumberFormat="1" applyFill="1" applyBorder="1" applyAlignment="1">
      <alignment horizontal="center"/>
    </xf>
    <xf numFmtId="0" fontId="0" fillId="0" borderId="28" xfId="0" applyNumberFormat="1" applyFill="1" applyBorder="1" applyAlignment="1">
      <alignment horizontal="center" wrapText="1"/>
    </xf>
    <xf numFmtId="170" fontId="0" fillId="0" borderId="28" xfId="0" applyNumberFormat="1" applyFill="1" applyBorder="1"/>
    <xf numFmtId="43" fontId="0" fillId="0" borderId="28" xfId="0" applyNumberFormat="1" applyFill="1" applyBorder="1"/>
    <xf numFmtId="168" fontId="0" fillId="0" borderId="0" xfId="0" applyNumberFormat="1" applyAlignment="1">
      <alignment wrapText="1"/>
    </xf>
    <xf numFmtId="168" fontId="0" fillId="0" borderId="0" xfId="0" applyNumberFormat="1" applyAlignment="1">
      <alignment horizontal="center" wrapText="1"/>
    </xf>
    <xf numFmtId="0" fontId="2" fillId="0" borderId="13" xfId="0" applyNumberFormat="1" applyFont="1" applyBorder="1" applyAlignment="1">
      <alignment horizontal="center"/>
    </xf>
    <xf numFmtId="165" fontId="2" fillId="0" borderId="13" xfId="16" applyNumberFormat="1" applyFont="1" applyBorder="1" applyAlignment="1">
      <alignment horizontal="center"/>
    </xf>
    <xf numFmtId="165" fontId="2" fillId="0" borderId="27" xfId="16" applyNumberFormat="1" applyFont="1" applyBorder="1" applyAlignment="1">
      <alignment horizontal="center"/>
    </xf>
    <xf numFmtId="165" fontId="2" fillId="0" borderId="20" xfId="16" applyNumberFormat="1" applyFont="1" applyBorder="1" applyAlignment="1">
      <alignment horizontal="center"/>
    </xf>
    <xf numFmtId="165" fontId="0" fillId="0" borderId="0" xfId="0" applyNumberFormat="1" applyAlignment="1">
      <alignment wrapText="1"/>
    </xf>
    <xf numFmtId="0" fontId="0" fillId="0" borderId="0" xfId="0" quotePrefix="1"/>
    <xf numFmtId="0" fontId="0" fillId="0" borderId="0" xfId="0" applyNumberFormat="1" applyAlignment="1">
      <alignment wrapText="1"/>
    </xf>
    <xf numFmtId="167" fontId="0" fillId="0" borderId="0" xfId="15" applyNumberFormat="1" applyFont="1"/>
    <xf numFmtId="0" fontId="2" fillId="0" borderId="0" xfId="0" applyFont="1" applyAlignment="1">
      <alignment wrapText="1"/>
    </xf>
    <xf numFmtId="0" fontId="9" fillId="0" borderId="0" xfId="0" applyFont="1" applyBorder="1" applyAlignment="1" applyProtection="1">
      <alignment horizontal="left" vertical="top" wrapText="1"/>
      <protection/>
    </xf>
    <xf numFmtId="0" fontId="9" fillId="0" borderId="1" xfId="0" applyFont="1" applyBorder="1" applyAlignment="1" applyProtection="1">
      <alignment horizontal="left" vertical="top" wrapText="1"/>
      <protection/>
    </xf>
    <xf numFmtId="1" fontId="0" fillId="0" borderId="0" xfId="0" applyNumberFormat="1" applyAlignment="1">
      <alignment horizontal="center" wrapText="1"/>
    </xf>
    <xf numFmtId="0" fontId="6" fillId="0" borderId="0" xfId="0" applyFont="1" applyBorder="1" applyAlignment="1" applyProtection="1">
      <alignment horizontal="left" wrapText="1"/>
      <protection/>
    </xf>
    <xf numFmtId="168" fontId="0" fillId="0" borderId="0" xfId="0" applyNumberFormat="1" applyFill="1" applyBorder="1"/>
    <xf numFmtId="1" fontId="2" fillId="2" borderId="13" xfId="0" applyNumberFormat="1" applyFont="1" applyFill="1" applyBorder="1" applyAlignment="1">
      <alignment horizontal="center"/>
    </xf>
    <xf numFmtId="2" fontId="0" fillId="0" borderId="0" xfId="0" applyNumberFormat="1" applyAlignment="1">
      <alignment wrapText="1"/>
    </xf>
    <xf numFmtId="1" fontId="0" fillId="0" borderId="0" xfId="0" applyNumberFormat="1"/>
    <xf numFmtId="169" fontId="0" fillId="0" borderId="30" xfId="0" applyNumberFormat="1" applyBorder="1"/>
    <xf numFmtId="0" fontId="0" fillId="0" borderId="31" xfId="0" applyBorder="1"/>
    <xf numFmtId="0" fontId="0" fillId="0" borderId="32" xfId="0" applyBorder="1"/>
    <xf numFmtId="169" fontId="0" fillId="0" borderId="10" xfId="0" applyNumberFormat="1" applyBorder="1"/>
    <xf numFmtId="0" fontId="0" fillId="0" borderId="0" xfId="0" applyBorder="1"/>
    <xf numFmtId="0" fontId="0" fillId="0" borderId="1" xfId="0" applyBorder="1"/>
    <xf numFmtId="169" fontId="0" fillId="0" borderId="10" xfId="0" applyNumberFormat="1" applyBorder="1" applyAlignment="1">
      <alignment wrapText="1"/>
    </xf>
    <xf numFmtId="0" fontId="0" fillId="0" borderId="0" xfId="0" applyBorder="1" applyAlignment="1">
      <alignment wrapText="1"/>
    </xf>
    <xf numFmtId="0" fontId="0" fillId="0" borderId="1" xfId="0" applyBorder="1" applyAlignment="1">
      <alignment wrapText="1"/>
    </xf>
    <xf numFmtId="2" fontId="0" fillId="0" borderId="0" xfId="0" applyNumberFormat="1" applyBorder="1" applyAlignment="1">
      <alignment wrapText="1"/>
    </xf>
    <xf numFmtId="0" fontId="0" fillId="0" borderId="10" xfId="0" applyNumberFormat="1" applyBorder="1" applyAlignment="1">
      <alignment horizontal="center"/>
    </xf>
    <xf numFmtId="1" fontId="0" fillId="0" borderId="0" xfId="0" applyNumberFormat="1" applyBorder="1"/>
    <xf numFmtId="173" fontId="0" fillId="0" borderId="0" xfId="0" applyNumberFormat="1" applyBorder="1"/>
    <xf numFmtId="0" fontId="0" fillId="0" borderId="33" xfId="0" applyNumberFormat="1" applyBorder="1" applyAlignment="1">
      <alignment horizontal="center"/>
    </xf>
    <xf numFmtId="1" fontId="0" fillId="0" borderId="28" xfId="0" applyNumberFormat="1" applyBorder="1"/>
    <xf numFmtId="173" fontId="0" fillId="0" borderId="28" xfId="0" applyNumberFormat="1" applyBorder="1"/>
    <xf numFmtId="0" fontId="0" fillId="0" borderId="34" xfId="0" applyBorder="1"/>
    <xf numFmtId="0" fontId="0" fillId="0" borderId="30" xfId="0" applyBorder="1"/>
    <xf numFmtId="165" fontId="0" fillId="0" borderId="0" xfId="0" applyNumberFormat="1" applyBorder="1" applyAlignment="1">
      <alignment wrapText="1"/>
    </xf>
    <xf numFmtId="43" fontId="0" fillId="0" borderId="0" xfId="0" applyNumberFormat="1" applyBorder="1"/>
    <xf numFmtId="0" fontId="0" fillId="0" borderId="33" xfId="0" applyBorder="1"/>
    <xf numFmtId="165" fontId="0" fillId="0" borderId="0" xfId="0" applyNumberFormat="1" applyBorder="1"/>
    <xf numFmtId="3" fontId="0" fillId="0" borderId="0" xfId="0" applyNumberFormat="1"/>
    <xf numFmtId="165" fontId="0" fillId="0" borderId="0" xfId="0" applyNumberFormat="1"/>
    <xf numFmtId="0" fontId="2" fillId="0" borderId="31" xfId="0" applyFont="1" applyBorder="1"/>
    <xf numFmtId="0" fontId="0" fillId="0" borderId="1" xfId="0" applyBorder="1" applyAlignment="1">
      <alignment horizontal="center" wrapText="1"/>
    </xf>
    <xf numFmtId="168" fontId="0" fillId="0" borderId="0" xfId="0" applyNumberFormat="1" applyBorder="1" applyAlignment="1">
      <alignment wrapText="1"/>
    </xf>
    <xf numFmtId="3" fontId="0" fillId="0" borderId="0" xfId="0" applyNumberFormat="1" applyBorder="1" applyAlignment="1">
      <alignment wrapText="1"/>
    </xf>
    <xf numFmtId="174" fontId="0" fillId="0" borderId="0" xfId="0" applyNumberFormat="1" applyBorder="1" applyAlignment="1">
      <alignment wrapText="1"/>
    </xf>
    <xf numFmtId="175" fontId="0" fillId="0" borderId="0" xfId="0" applyNumberFormat="1" applyBorder="1" applyAlignment="1">
      <alignment wrapText="1"/>
    </xf>
    <xf numFmtId="170" fontId="0" fillId="0" borderId="1" xfId="18" applyNumberFormat="1" applyFont="1" applyBorder="1" applyAlignment="1">
      <alignment wrapText="1"/>
    </xf>
    <xf numFmtId="2" fontId="0" fillId="0" borderId="0" xfId="0" applyNumberFormat="1" applyBorder="1"/>
    <xf numFmtId="168" fontId="0" fillId="0" borderId="0" xfId="0" applyNumberFormat="1" applyBorder="1"/>
    <xf numFmtId="3" fontId="0" fillId="0" borderId="0" xfId="0" applyNumberFormat="1" applyBorder="1"/>
    <xf numFmtId="175" fontId="0" fillId="0" borderId="0" xfId="0" applyNumberFormat="1" applyBorder="1"/>
    <xf numFmtId="173" fontId="0" fillId="0" borderId="1" xfId="18" applyNumberFormat="1" applyFont="1" applyBorder="1"/>
    <xf numFmtId="169" fontId="0" fillId="0" borderId="33" xfId="0" applyNumberFormat="1" applyBorder="1"/>
    <xf numFmtId="167" fontId="0" fillId="0" borderId="0" xfId="15" applyNumberFormat="1" applyFont="1" applyFill="1" applyBorder="1"/>
    <xf numFmtId="167" fontId="0" fillId="0" borderId="0" xfId="15" applyNumberFormat="1" applyFont="1" applyBorder="1"/>
    <xf numFmtId="2" fontId="0" fillId="0" borderId="0" xfId="0" applyNumberFormat="1" applyFill="1" applyBorder="1"/>
    <xf numFmtId="175" fontId="0" fillId="0" borderId="0" xfId="0" applyNumberFormat="1" applyFill="1" applyBorder="1"/>
    <xf numFmtId="167" fontId="0" fillId="0" borderId="28" xfId="15" applyNumberFormat="1" applyFont="1" applyBorder="1"/>
    <xf numFmtId="0" fontId="0" fillId="2" borderId="35" xfId="0" applyFill="1" applyBorder="1" applyAlignment="1">
      <alignment horizontal="center"/>
    </xf>
    <xf numFmtId="0" fontId="29" fillId="2" borderId="36" xfId="0" applyFont="1" applyFill="1" applyBorder="1" applyAlignment="1">
      <alignment horizontal="right"/>
    </xf>
    <xf numFmtId="0" fontId="29" fillId="2" borderId="37" xfId="0" applyFont="1" applyFill="1" applyBorder="1" applyAlignment="1">
      <alignment horizontal="center"/>
    </xf>
    <xf numFmtId="0" fontId="29" fillId="2" borderId="38" xfId="0" applyFont="1" applyFill="1" applyBorder="1" applyAlignment="1">
      <alignment horizontal="right" vertical="top"/>
    </xf>
    <xf numFmtId="0" fontId="29" fillId="2" borderId="34" xfId="0" applyFont="1" applyFill="1" applyBorder="1" applyAlignment="1">
      <alignment horizontal="center"/>
    </xf>
    <xf numFmtId="0" fontId="29" fillId="2" borderId="39" xfId="0" applyFont="1" applyFill="1" applyBorder="1" applyAlignment="1">
      <alignment horizontal="center"/>
    </xf>
    <xf numFmtId="0" fontId="29" fillId="2" borderId="40" xfId="0" applyFont="1" applyFill="1" applyBorder="1" applyAlignment="1">
      <alignment horizontal="center"/>
    </xf>
    <xf numFmtId="3" fontId="0" fillId="2" borderId="41" xfId="18" applyNumberFormat="1" applyFont="1" applyFill="1" applyBorder="1" applyAlignment="1">
      <alignment horizontal="center" vertical="center"/>
    </xf>
    <xf numFmtId="3" fontId="0" fillId="2" borderId="42" xfId="18" applyNumberFormat="1" applyFont="1" applyFill="1" applyBorder="1" applyAlignment="1">
      <alignment horizontal="center" vertical="center"/>
    </xf>
    <xf numFmtId="3" fontId="0" fillId="2" borderId="43" xfId="18" applyNumberFormat="1" applyFont="1" applyFill="1" applyBorder="1" applyAlignment="1">
      <alignment horizontal="center" vertical="center"/>
    </xf>
    <xf numFmtId="0" fontId="29" fillId="2" borderId="44" xfId="0" applyFont="1" applyFill="1" applyBorder="1" applyAlignment="1">
      <alignment horizontal="center"/>
    </xf>
    <xf numFmtId="0" fontId="29" fillId="2" borderId="45" xfId="0" applyFont="1" applyFill="1" applyBorder="1" applyAlignment="1">
      <alignment horizontal="center"/>
    </xf>
    <xf numFmtId="1" fontId="0" fillId="2" borderId="46" xfId="0" applyNumberFormat="1" applyFill="1" applyBorder="1" applyAlignment="1">
      <alignment horizontal="center" vertical="center"/>
    </xf>
    <xf numFmtId="1" fontId="0" fillId="2" borderId="47" xfId="0" applyNumberFormat="1" applyFill="1" applyBorder="1" applyAlignment="1">
      <alignment horizontal="center" vertical="center"/>
    </xf>
    <xf numFmtId="1" fontId="0" fillId="2" borderId="48" xfId="0" applyNumberFormat="1" applyFill="1" applyBorder="1" applyAlignment="1">
      <alignment horizontal="center" vertical="center"/>
    </xf>
    <xf numFmtId="165" fontId="0" fillId="2" borderId="46" xfId="0" applyNumberFormat="1" applyFill="1" applyBorder="1" applyAlignment="1">
      <alignment horizontal="center" vertical="center"/>
    </xf>
    <xf numFmtId="165" fontId="0" fillId="2" borderId="47" xfId="0" applyNumberFormat="1" applyFill="1" applyBorder="1" applyAlignment="1">
      <alignment horizontal="center" vertical="center"/>
    </xf>
    <xf numFmtId="165" fontId="0" fillId="2" borderId="48" xfId="0" applyNumberFormat="1" applyFill="1" applyBorder="1" applyAlignment="1">
      <alignment horizontal="center" vertical="center"/>
    </xf>
    <xf numFmtId="2" fontId="0" fillId="9" borderId="46" xfId="0" applyNumberFormat="1" applyFill="1" applyBorder="1" applyAlignment="1">
      <alignment horizontal="center" vertical="center"/>
    </xf>
    <xf numFmtId="2" fontId="0" fillId="9" borderId="47" xfId="0" applyNumberFormat="1" applyFill="1" applyBorder="1" applyAlignment="1">
      <alignment horizontal="center" vertical="center"/>
    </xf>
    <xf numFmtId="2" fontId="0" fillId="9" borderId="48" xfId="0" applyNumberFormat="1" applyFill="1" applyBorder="1" applyAlignment="1">
      <alignment horizontal="center" vertical="center"/>
    </xf>
    <xf numFmtId="0" fontId="29" fillId="9" borderId="36" xfId="0" applyFont="1" applyFill="1" applyBorder="1" applyAlignment="1">
      <alignment horizontal="right"/>
    </xf>
    <xf numFmtId="0" fontId="29" fillId="9" borderId="39" xfId="0" applyFont="1" applyFill="1" applyBorder="1" applyAlignment="1">
      <alignment horizontal="center"/>
    </xf>
    <xf numFmtId="0" fontId="29" fillId="9" borderId="49" xfId="0" applyFont="1" applyFill="1" applyBorder="1" applyAlignment="1">
      <alignment horizontal="center"/>
    </xf>
    <xf numFmtId="173" fontId="0" fillId="9" borderId="46" xfId="0" applyNumberFormat="1" applyFill="1" applyBorder="1" applyAlignment="1">
      <alignment horizontal="center" vertical="center"/>
    </xf>
    <xf numFmtId="173" fontId="0" fillId="9" borderId="47" xfId="0" applyNumberFormat="1" applyFill="1" applyBorder="1" applyAlignment="1">
      <alignment horizontal="center" vertical="center"/>
    </xf>
    <xf numFmtId="173" fontId="0" fillId="9" borderId="48" xfId="0" applyNumberFormat="1" applyFill="1" applyBorder="1" applyAlignment="1">
      <alignment horizontal="center" vertical="center"/>
    </xf>
    <xf numFmtId="0" fontId="29" fillId="9" borderId="37" xfId="0" applyFont="1" applyFill="1" applyBorder="1" applyAlignment="1">
      <alignment horizontal="center"/>
    </xf>
    <xf numFmtId="175" fontId="0" fillId="9" borderId="46" xfId="0" applyNumberFormat="1" applyFill="1" applyBorder="1" applyAlignment="1">
      <alignment horizontal="center" vertical="center"/>
    </xf>
    <xf numFmtId="175" fontId="0" fillId="9" borderId="47" xfId="0" applyNumberFormat="1" applyFill="1" applyBorder="1" applyAlignment="1">
      <alignment horizontal="center" vertical="center"/>
    </xf>
    <xf numFmtId="175" fontId="0" fillId="9" borderId="48" xfId="0" applyNumberFormat="1" applyFill="1" applyBorder="1" applyAlignment="1">
      <alignment horizontal="center" vertical="center"/>
    </xf>
    <xf numFmtId="0" fontId="2" fillId="10" borderId="50" xfId="0" applyFont="1" applyFill="1" applyBorder="1" applyAlignment="1">
      <alignment horizontal="right" vertical="center"/>
    </xf>
    <xf numFmtId="0" fontId="2" fillId="10" borderId="51" xfId="0" applyFont="1" applyFill="1" applyBorder="1" applyAlignment="1">
      <alignment horizontal="center" vertical="center"/>
    </xf>
    <xf numFmtId="3" fontId="2" fillId="10" borderId="52" xfId="18" applyNumberFormat="1" applyFont="1" applyFill="1" applyBorder="1" applyAlignment="1">
      <alignment horizontal="center" vertical="center"/>
    </xf>
    <xf numFmtId="3" fontId="2" fillId="10" borderId="53" xfId="18" applyNumberFormat="1" applyFont="1" applyFill="1" applyBorder="1" applyAlignment="1">
      <alignment horizontal="center" vertical="center"/>
    </xf>
    <xf numFmtId="3" fontId="2" fillId="10" borderId="50" xfId="18" applyNumberFormat="1" applyFont="1" applyFill="1" applyBorder="1" applyAlignment="1">
      <alignment horizontal="center" vertical="center"/>
    </xf>
    <xf numFmtId="0" fontId="2" fillId="10" borderId="54" xfId="0" applyFont="1" applyFill="1" applyBorder="1" applyAlignment="1">
      <alignment horizontal="right" vertical="center"/>
    </xf>
    <xf numFmtId="0" fontId="2" fillId="10" borderId="55" xfId="0" applyFont="1" applyFill="1" applyBorder="1" applyAlignment="1">
      <alignment horizontal="center" vertical="center"/>
    </xf>
    <xf numFmtId="165" fontId="2" fillId="10" borderId="56" xfId="0" applyNumberFormat="1" applyFont="1" applyFill="1" applyBorder="1" applyAlignment="1">
      <alignment horizontal="center" vertical="center"/>
    </xf>
    <xf numFmtId="165" fontId="2" fillId="10" borderId="57" xfId="0" applyNumberFormat="1" applyFont="1" applyFill="1" applyBorder="1" applyAlignment="1">
      <alignment horizontal="center" vertical="center"/>
    </xf>
    <xf numFmtId="165" fontId="2" fillId="10" borderId="54" xfId="0" applyNumberFormat="1" applyFont="1" applyFill="1" applyBorder="1" applyAlignment="1">
      <alignment horizontal="center" vertical="center"/>
    </xf>
    <xf numFmtId="0" fontId="0" fillId="2" borderId="58" xfId="0" applyFill="1" applyBorder="1" applyAlignment="1">
      <alignment horizontal="center" vertical="center" wrapText="1"/>
    </xf>
    <xf numFmtId="0" fontId="0" fillId="2" borderId="59" xfId="0" applyFill="1" applyBorder="1" applyAlignment="1">
      <alignment horizontal="center" vertical="center" wrapText="1"/>
    </xf>
    <xf numFmtId="2" fontId="0" fillId="2" borderId="59" xfId="0" applyNumberFormat="1" applyFill="1" applyBorder="1" applyAlignment="1">
      <alignment horizontal="center" vertical="center" wrapText="1"/>
    </xf>
    <xf numFmtId="0" fontId="0" fillId="2" borderId="60" xfId="0" applyFill="1" applyBorder="1" applyAlignment="1">
      <alignment horizontal="center" vertical="center" wrapText="1"/>
    </xf>
    <xf numFmtId="0" fontId="2" fillId="10" borderId="9"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31" fillId="2" borderId="61" xfId="0" applyFont="1" applyFill="1" applyBorder="1" applyAlignment="1">
      <alignment horizontal="center" vertical="center" wrapText="1"/>
    </xf>
    <xf numFmtId="0" fontId="31" fillId="9" borderId="62" xfId="0" applyFont="1" applyFill="1" applyBorder="1" applyAlignment="1">
      <alignment horizontal="center" vertical="center" wrapText="1"/>
    </xf>
    <xf numFmtId="0" fontId="31" fillId="2" borderId="62" xfId="0" applyFont="1" applyFill="1" applyBorder="1" applyAlignment="1">
      <alignment horizontal="center" wrapText="1"/>
    </xf>
    <xf numFmtId="0" fontId="31" fillId="2" borderId="62" xfId="0" applyFont="1" applyFill="1" applyBorder="1" applyAlignment="1">
      <alignment horizontal="center" vertical="center" wrapText="1"/>
    </xf>
    <xf numFmtId="3" fontId="10" fillId="3" borderId="63" xfId="0" applyNumberFormat="1" applyFont="1" applyFill="1" applyBorder="1" applyAlignment="1" applyProtection="1">
      <alignment horizontal="center" vertical="center"/>
      <protection locked="0"/>
    </xf>
    <xf numFmtId="7" fontId="10" fillId="3" borderId="23" xfId="0" applyNumberFormat="1" applyFont="1" applyFill="1" applyBorder="1" applyAlignment="1" applyProtection="1">
      <alignment horizontal="center" vertical="center"/>
      <protection locked="0"/>
    </xf>
    <xf numFmtId="3" fontId="10" fillId="3" borderId="19" xfId="0" applyNumberFormat="1" applyFont="1" applyFill="1" applyBorder="1" applyAlignment="1" applyProtection="1">
      <alignment horizontal="center" vertical="center"/>
      <protection locked="0"/>
    </xf>
    <xf numFmtId="7" fontId="10" fillId="3" borderId="20" xfId="0" applyNumberFormat="1" applyFont="1" applyFill="1" applyBorder="1" applyAlignment="1" applyProtection="1">
      <alignment horizontal="center" vertical="center"/>
      <protection locked="0"/>
    </xf>
    <xf numFmtId="164" fontId="10" fillId="4" borderId="64" xfId="0" applyNumberFormat="1" applyFont="1" applyFill="1" applyBorder="1" applyAlignment="1" applyProtection="1">
      <alignment horizontal="right" vertical="center"/>
      <protection locked="0"/>
    </xf>
    <xf numFmtId="3" fontId="10" fillId="3" borderId="65" xfId="0" applyNumberFormat="1" applyFont="1" applyFill="1" applyBorder="1" applyAlignment="1" applyProtection="1">
      <alignment horizontal="center" vertical="center"/>
      <protection locked="0"/>
    </xf>
    <xf numFmtId="165" fontId="10" fillId="3" borderId="27" xfId="0" applyNumberFormat="1" applyFont="1" applyFill="1" applyBorder="1" applyAlignment="1" applyProtection="1">
      <alignment horizontal="center" vertical="center"/>
      <protection locked="0"/>
    </xf>
    <xf numFmtId="7" fontId="10" fillId="3" borderId="66" xfId="0" applyNumberFormat="1" applyFont="1" applyFill="1" applyBorder="1" applyAlignment="1" applyProtection="1">
      <alignment horizontal="center" vertical="center"/>
      <protection locked="0"/>
    </xf>
    <xf numFmtId="3" fontId="10" fillId="3" borderId="67" xfId="0" applyNumberFormat="1" applyFont="1" applyFill="1" applyBorder="1" applyAlignment="1" applyProtection="1">
      <alignment horizontal="center" vertical="center"/>
      <protection locked="0"/>
    </xf>
    <xf numFmtId="7" fontId="10" fillId="3" borderId="27" xfId="0" applyNumberFormat="1" applyFont="1" applyFill="1" applyBorder="1" applyAlignment="1" applyProtection="1">
      <alignment horizontal="center" vertical="center"/>
      <protection locked="0"/>
    </xf>
    <xf numFmtId="164" fontId="10" fillId="5" borderId="68" xfId="0" applyNumberFormat="1" applyFont="1" applyFill="1" applyBorder="1" applyAlignment="1" applyProtection="1">
      <alignment horizontal="right" vertical="center"/>
      <protection locked="0"/>
    </xf>
    <xf numFmtId="3" fontId="10" fillId="3" borderId="69" xfId="0" applyNumberFormat="1" applyFont="1" applyFill="1" applyBorder="1" applyAlignment="1" applyProtection="1">
      <alignment horizontal="center" vertical="center"/>
      <protection locked="0"/>
    </xf>
    <xf numFmtId="3" fontId="10" fillId="3" borderId="70" xfId="0" applyNumberFormat="1" applyFont="1" applyFill="1" applyBorder="1" applyAlignment="1" applyProtection="1">
      <alignment horizontal="center" vertical="center"/>
      <protection locked="0"/>
    </xf>
    <xf numFmtId="0" fontId="0" fillId="11" borderId="30" xfId="0" applyFill="1" applyBorder="1"/>
    <xf numFmtId="0" fontId="0" fillId="11" borderId="31" xfId="0" applyFill="1" applyBorder="1" applyAlignment="1">
      <alignment horizontal="center"/>
    </xf>
    <xf numFmtId="0" fontId="0" fillId="11" borderId="31" xfId="0" applyFill="1" applyBorder="1"/>
    <xf numFmtId="0" fontId="0" fillId="11" borderId="32" xfId="0" applyFill="1" applyBorder="1"/>
    <xf numFmtId="0" fontId="0" fillId="11" borderId="10" xfId="0" applyFill="1" applyBorder="1"/>
    <xf numFmtId="0" fontId="0" fillId="11" borderId="0" xfId="0" applyFill="1" applyBorder="1"/>
    <xf numFmtId="0" fontId="0" fillId="11" borderId="1" xfId="0" applyFill="1" applyBorder="1"/>
    <xf numFmtId="0" fontId="0" fillId="11" borderId="0" xfId="0" applyFill="1" applyBorder="1" applyAlignment="1">
      <alignment horizontal="center"/>
    </xf>
    <xf numFmtId="0" fontId="0" fillId="11" borderId="0" xfId="0" applyFill="1" applyBorder="1" applyAlignment="1">
      <alignment horizontal="center" vertical="center" wrapText="1"/>
    </xf>
    <xf numFmtId="0" fontId="29" fillId="2" borderId="0" xfId="0" applyFont="1" applyFill="1" applyBorder="1" applyAlignment="1">
      <alignment horizontal="left"/>
    </xf>
    <xf numFmtId="0" fontId="0" fillId="2" borderId="0" xfId="0" applyFill="1" applyBorder="1" applyAlignment="1">
      <alignment horizontal="center"/>
    </xf>
    <xf numFmtId="0" fontId="0" fillId="11" borderId="33" xfId="0" applyFill="1" applyBorder="1"/>
    <xf numFmtId="0" fontId="0" fillId="11" borderId="28" xfId="0" applyFill="1" applyBorder="1" applyAlignment="1">
      <alignment horizontal="center"/>
    </xf>
    <xf numFmtId="0" fontId="0" fillId="11" borderId="28" xfId="0" applyFill="1" applyBorder="1"/>
    <xf numFmtId="0" fontId="0" fillId="11" borderId="34" xfId="0" applyFill="1" applyBorder="1"/>
    <xf numFmtId="2" fontId="0" fillId="0" borderId="0" xfId="0" applyNumberFormat="1" applyFill="1" applyBorder="1" applyAlignment="1">
      <alignment wrapText="1"/>
    </xf>
    <xf numFmtId="0" fontId="0" fillId="0" borderId="28" xfId="0" applyFill="1" applyBorder="1"/>
    <xf numFmtId="3" fontId="0" fillId="0" borderId="0" xfId="0" applyNumberFormat="1" applyFill="1" applyBorder="1" applyAlignment="1">
      <alignment wrapText="1"/>
    </xf>
    <xf numFmtId="176" fontId="0" fillId="0" borderId="0" xfId="0" applyNumberFormat="1" applyFill="1" applyBorder="1" applyAlignment="1">
      <alignment wrapText="1"/>
    </xf>
    <xf numFmtId="3" fontId="0" fillId="0" borderId="0" xfId="0" applyNumberFormat="1" applyFill="1" applyBorder="1"/>
    <xf numFmtId="165" fontId="0" fillId="0" borderId="0" xfId="0" applyNumberFormat="1" applyFill="1" applyBorder="1" applyAlignment="1">
      <alignment wrapText="1"/>
    </xf>
    <xf numFmtId="175" fontId="0" fillId="0" borderId="0" xfId="0" applyNumberFormat="1" applyFill="1" applyBorder="1" applyAlignment="1">
      <alignment wrapText="1"/>
    </xf>
    <xf numFmtId="170" fontId="0" fillId="0" borderId="1" xfId="18" applyNumberFormat="1" applyFont="1" applyFill="1" applyBorder="1" applyAlignment="1">
      <alignment wrapText="1"/>
    </xf>
    <xf numFmtId="173" fontId="0" fillId="0" borderId="1" xfId="18" applyNumberFormat="1" applyFont="1" applyFill="1" applyBorder="1"/>
    <xf numFmtId="167" fontId="0" fillId="0" borderId="28" xfId="15" applyNumberFormat="1" applyFont="1" applyFill="1" applyBorder="1"/>
    <xf numFmtId="0" fontId="0" fillId="0" borderId="34" xfId="0" applyFill="1" applyBorder="1"/>
    <xf numFmtId="0" fontId="2" fillId="5" borderId="9" xfId="0" applyFont="1" applyFill="1" applyBorder="1" applyAlignment="1">
      <alignment horizontal="center" vertical="center" wrapText="1"/>
    </xf>
    <xf numFmtId="3" fontId="2" fillId="5" borderId="50" xfId="18" applyNumberFormat="1" applyFont="1" applyFill="1" applyBorder="1" applyAlignment="1">
      <alignment horizontal="center" vertical="center"/>
    </xf>
    <xf numFmtId="0" fontId="2" fillId="5" borderId="50" xfId="0" applyFont="1" applyFill="1" applyBorder="1" applyAlignment="1">
      <alignment horizontal="right" vertical="center"/>
    </xf>
    <xf numFmtId="0" fontId="2" fillId="5" borderId="51" xfId="0" applyFont="1" applyFill="1" applyBorder="1" applyAlignment="1">
      <alignment horizontal="center" vertical="center"/>
    </xf>
    <xf numFmtId="3" fontId="2" fillId="5" borderId="52" xfId="18" applyNumberFormat="1" applyFont="1" applyFill="1" applyBorder="1" applyAlignment="1">
      <alignment horizontal="center" vertical="center"/>
    </xf>
    <xf numFmtId="3" fontId="2" fillId="5" borderId="53" xfId="18" applyNumberFormat="1" applyFont="1" applyFill="1" applyBorder="1" applyAlignment="1">
      <alignment horizontal="center" vertical="center"/>
    </xf>
    <xf numFmtId="0" fontId="2" fillId="5" borderId="54" xfId="0" applyFont="1" applyFill="1" applyBorder="1" applyAlignment="1">
      <alignment horizontal="right" vertical="center"/>
    </xf>
    <xf numFmtId="0" fontId="2" fillId="5" borderId="55" xfId="0" applyFont="1" applyFill="1" applyBorder="1" applyAlignment="1">
      <alignment horizontal="center" vertical="center"/>
    </xf>
    <xf numFmtId="168" fontId="0" fillId="2" borderId="46" xfId="0" applyNumberFormat="1" applyFill="1" applyBorder="1" applyAlignment="1">
      <alignment horizontal="center" vertical="center"/>
    </xf>
    <xf numFmtId="2" fontId="0" fillId="0" borderId="28" xfId="0" applyNumberFormat="1" applyFill="1" applyBorder="1" applyAlignment="1">
      <alignment horizontal="center"/>
    </xf>
    <xf numFmtId="170" fontId="0" fillId="0" borderId="28" xfId="18" applyNumberFormat="1" applyFont="1" applyFill="1" applyBorder="1"/>
    <xf numFmtId="173" fontId="0" fillId="0" borderId="28" xfId="0" applyNumberFormat="1" applyFill="1" applyBorder="1"/>
    <xf numFmtId="1" fontId="2" fillId="2" borderId="71" xfId="0" applyNumberFormat="1" applyFont="1" applyFill="1" applyBorder="1" applyAlignment="1">
      <alignment horizontal="center"/>
    </xf>
    <xf numFmtId="0" fontId="2" fillId="12" borderId="9" xfId="0" applyFont="1" applyFill="1" applyBorder="1" applyAlignment="1">
      <alignment horizontal="center" vertical="center" wrapText="1"/>
    </xf>
    <xf numFmtId="3" fontId="2" fillId="12" borderId="50" xfId="18" applyNumberFormat="1" applyFont="1" applyFill="1" applyBorder="1" applyAlignment="1">
      <alignment horizontal="center" vertical="center"/>
    </xf>
    <xf numFmtId="0" fontId="2" fillId="12" borderId="50" xfId="0" applyFont="1" applyFill="1" applyBorder="1" applyAlignment="1">
      <alignment horizontal="center" vertical="center" wrapText="1"/>
    </xf>
    <xf numFmtId="0" fontId="2" fillId="12" borderId="51" xfId="0" applyFont="1" applyFill="1" applyBorder="1" applyAlignment="1">
      <alignment horizontal="center" vertical="center"/>
    </xf>
    <xf numFmtId="0" fontId="2" fillId="12" borderId="54" xfId="0" applyFont="1" applyFill="1" applyBorder="1" applyAlignment="1">
      <alignment horizontal="center" vertical="center" wrapText="1"/>
    </xf>
    <xf numFmtId="0" fontId="2" fillId="12" borderId="55" xfId="0" applyFont="1" applyFill="1" applyBorder="1" applyAlignment="1">
      <alignment horizontal="center" vertical="center"/>
    </xf>
    <xf numFmtId="0" fontId="0" fillId="0" borderId="0" xfId="0" applyFill="1"/>
    <xf numFmtId="0" fontId="0" fillId="0" borderId="61" xfId="0" applyBorder="1"/>
    <xf numFmtId="14" fontId="0" fillId="0" borderId="9" xfId="0" applyNumberFormat="1" applyBorder="1"/>
    <xf numFmtId="0" fontId="0" fillId="0" borderId="38" xfId="0" applyBorder="1"/>
    <xf numFmtId="0" fontId="29" fillId="2" borderId="72" xfId="0" applyFont="1" applyFill="1" applyBorder="1" applyAlignment="1">
      <alignment horizontal="center"/>
    </xf>
    <xf numFmtId="0" fontId="29" fillId="9" borderId="73" xfId="0" applyFont="1" applyFill="1" applyBorder="1" applyAlignment="1">
      <alignment horizontal="center"/>
    </xf>
    <xf numFmtId="177" fontId="0" fillId="2" borderId="41" xfId="18" applyNumberFormat="1" applyFont="1" applyFill="1" applyBorder="1" applyAlignment="1">
      <alignment horizontal="center" vertical="center"/>
    </xf>
    <xf numFmtId="177" fontId="0" fillId="2" borderId="42" xfId="18" applyNumberFormat="1" applyFont="1" applyFill="1" applyBorder="1" applyAlignment="1">
      <alignment horizontal="center" vertical="center"/>
    </xf>
    <xf numFmtId="177" fontId="0" fillId="2" borderId="43" xfId="18" applyNumberFormat="1" applyFont="1" applyFill="1" applyBorder="1" applyAlignment="1">
      <alignment horizontal="center" vertical="center"/>
    </xf>
    <xf numFmtId="168" fontId="0" fillId="9" borderId="46" xfId="0" applyNumberFormat="1" applyFill="1" applyBorder="1" applyAlignment="1">
      <alignment horizontal="center" vertical="center"/>
    </xf>
    <xf numFmtId="168" fontId="0" fillId="9" borderId="47" xfId="0" applyNumberFormat="1" applyFill="1" applyBorder="1" applyAlignment="1">
      <alignment horizontal="center" vertical="center"/>
    </xf>
    <xf numFmtId="168" fontId="0" fillId="9" borderId="48" xfId="0" applyNumberFormat="1" applyFill="1" applyBorder="1" applyAlignment="1">
      <alignment horizontal="center" vertical="center"/>
    </xf>
    <xf numFmtId="168" fontId="0" fillId="2" borderId="47" xfId="0" applyNumberFormat="1" applyFill="1" applyBorder="1" applyAlignment="1">
      <alignment horizontal="center" vertical="center"/>
    </xf>
    <xf numFmtId="168" fontId="0" fillId="2" borderId="48" xfId="0" applyNumberFormat="1" applyFill="1" applyBorder="1" applyAlignment="1">
      <alignment horizontal="center" vertical="center"/>
    </xf>
    <xf numFmtId="1" fontId="2" fillId="2" borderId="20" xfId="0" applyNumberFormat="1" applyFont="1" applyFill="1" applyBorder="1" applyAlignment="1">
      <alignment horizontal="center"/>
    </xf>
    <xf numFmtId="1" fontId="2" fillId="2" borderId="27" xfId="0" applyNumberFormat="1" applyFont="1" applyFill="1" applyBorder="1" applyAlignment="1">
      <alignment horizontal="center"/>
    </xf>
    <xf numFmtId="3" fontId="0" fillId="2" borderId="46" xfId="0" applyNumberFormat="1" applyFill="1" applyBorder="1" applyAlignment="1">
      <alignment horizontal="center" vertical="center"/>
    </xf>
    <xf numFmtId="3" fontId="0" fillId="2" borderId="47" xfId="0" applyNumberFormat="1" applyFill="1" applyBorder="1" applyAlignment="1">
      <alignment horizontal="center" vertical="center"/>
    </xf>
    <xf numFmtId="3" fontId="0" fillId="2" borderId="48" xfId="0" applyNumberFormat="1" applyFill="1" applyBorder="1" applyAlignment="1">
      <alignment horizontal="center" vertical="center"/>
    </xf>
    <xf numFmtId="0" fontId="29" fillId="9" borderId="36" xfId="0" applyFont="1" applyFill="1" applyBorder="1" applyAlignment="1">
      <alignment horizontal="center"/>
    </xf>
    <xf numFmtId="0" fontId="29" fillId="2" borderId="36" xfId="0" applyFont="1" applyFill="1" applyBorder="1" applyAlignment="1">
      <alignment horizontal="center"/>
    </xf>
    <xf numFmtId="3" fontId="10" fillId="3" borderId="74" xfId="0" applyNumberFormat="1" applyFont="1" applyFill="1" applyBorder="1" applyAlignment="1" applyProtection="1">
      <alignment horizontal="center" vertical="center"/>
      <protection locked="0"/>
    </xf>
    <xf numFmtId="1" fontId="2" fillId="2" borderId="29" xfId="0" applyNumberFormat="1" applyFont="1" applyFill="1" applyBorder="1" applyAlignment="1">
      <alignment horizontal="center"/>
    </xf>
    <xf numFmtId="0" fontId="15" fillId="2" borderId="75" xfId="0" applyFont="1" applyFill="1" applyBorder="1" applyAlignment="1">
      <alignment horizontal="center" vertical="center" wrapText="1"/>
    </xf>
    <xf numFmtId="171" fontId="10" fillId="4" borderId="76" xfId="0" applyNumberFormat="1" applyFont="1" applyFill="1" applyBorder="1" applyAlignment="1">
      <alignment horizontal="right" vertical="center"/>
    </xf>
    <xf numFmtId="171" fontId="10" fillId="4" borderId="77" xfId="0" applyNumberFormat="1" applyFont="1" applyFill="1" applyBorder="1" applyAlignment="1">
      <alignment horizontal="right" vertical="center"/>
    </xf>
    <xf numFmtId="171" fontId="10" fillId="4" borderId="78" xfId="0" applyNumberFormat="1" applyFont="1" applyFill="1" applyBorder="1" applyAlignment="1">
      <alignment horizontal="right" vertical="center"/>
    </xf>
    <xf numFmtId="171" fontId="10" fillId="4" borderId="73" xfId="0" applyNumberFormat="1" applyFont="1" applyFill="1" applyBorder="1" applyAlignment="1">
      <alignment horizontal="right" vertical="center"/>
    </xf>
    <xf numFmtId="171" fontId="10" fillId="5" borderId="73" xfId="0" applyNumberFormat="1" applyFont="1" applyFill="1" applyBorder="1" applyAlignment="1">
      <alignment horizontal="right" vertical="center"/>
    </xf>
    <xf numFmtId="171" fontId="10" fillId="5" borderId="77" xfId="0" applyNumberFormat="1" applyFont="1" applyFill="1" applyBorder="1" applyAlignment="1">
      <alignment horizontal="right" vertical="center"/>
    </xf>
    <xf numFmtId="171" fontId="10" fillId="5" borderId="78" xfId="0" applyNumberFormat="1" applyFont="1" applyFill="1" applyBorder="1" applyAlignment="1">
      <alignment horizontal="right" vertical="center"/>
    </xf>
    <xf numFmtId="1" fontId="0" fillId="9" borderId="46" xfId="0" applyNumberFormat="1" applyFill="1" applyBorder="1" applyAlignment="1">
      <alignment horizontal="center" vertical="center"/>
    </xf>
    <xf numFmtId="1" fontId="0" fillId="9" borderId="47" xfId="0" applyNumberFormat="1" applyFill="1" applyBorder="1" applyAlignment="1">
      <alignment horizontal="center" vertical="center"/>
    </xf>
    <xf numFmtId="1" fontId="0" fillId="9" borderId="48" xfId="0" applyNumberFormat="1" applyFill="1" applyBorder="1" applyAlignment="1">
      <alignment horizontal="center" vertical="center"/>
    </xf>
    <xf numFmtId="7" fontId="10" fillId="3" borderId="17" xfId="0" applyNumberFormat="1" applyFont="1" applyFill="1" applyBorder="1" applyAlignment="1" applyProtection="1">
      <alignment horizontal="center" vertical="center"/>
      <protection locked="0"/>
    </xf>
    <xf numFmtId="7" fontId="10" fillId="3" borderId="65" xfId="0" applyNumberFormat="1" applyFont="1" applyFill="1" applyBorder="1" applyAlignment="1" applyProtection="1">
      <alignment horizontal="center" vertical="center"/>
      <protection locked="0"/>
    </xf>
    <xf numFmtId="7" fontId="10" fillId="3" borderId="63" xfId="0" applyNumberFormat="1" applyFont="1" applyFill="1" applyBorder="1" applyAlignment="1" applyProtection="1">
      <alignment horizontal="center" vertical="center"/>
      <protection locked="0"/>
    </xf>
    <xf numFmtId="2" fontId="2" fillId="0" borderId="27" xfId="0" applyNumberFormat="1" applyFont="1" applyBorder="1" applyAlignment="1">
      <alignment horizontal="center"/>
    </xf>
    <xf numFmtId="0" fontId="2" fillId="2" borderId="79" xfId="0" applyFont="1" applyFill="1" applyBorder="1" applyAlignment="1">
      <alignment horizontal="center"/>
    </xf>
    <xf numFmtId="1" fontId="2" fillId="0" borderId="27" xfId="0" applyNumberFormat="1" applyFont="1" applyBorder="1" applyAlignment="1">
      <alignment horizontal="center"/>
    </xf>
    <xf numFmtId="0" fontId="2" fillId="0" borderId="27" xfId="0" applyNumberFormat="1" applyFont="1" applyBorder="1" applyAlignment="1">
      <alignment horizontal="center"/>
    </xf>
    <xf numFmtId="2" fontId="2" fillId="0" borderId="20" xfId="0" applyNumberFormat="1" applyFont="1" applyBorder="1" applyAlignment="1">
      <alignment horizontal="center"/>
    </xf>
    <xf numFmtId="1" fontId="2" fillId="0" borderId="20" xfId="0" applyNumberFormat="1" applyFont="1" applyBorder="1" applyAlignment="1">
      <alignment horizontal="center"/>
    </xf>
    <xf numFmtId="0" fontId="2" fillId="0" borderId="20" xfId="0" applyNumberFormat="1" applyFont="1" applyBorder="1" applyAlignment="1">
      <alignment horizontal="center"/>
    </xf>
    <xf numFmtId="0" fontId="9" fillId="0" borderId="0" xfId="0" applyFont="1" applyBorder="1" applyAlignment="1" applyProtection="1">
      <alignment horizontal="left" vertical="top" wrapText="1"/>
      <protection/>
    </xf>
    <xf numFmtId="0" fontId="9" fillId="0" borderId="1" xfId="0" applyFont="1" applyBorder="1" applyAlignment="1" applyProtection="1">
      <alignment horizontal="left" vertical="top" wrapText="1"/>
      <protection/>
    </xf>
    <xf numFmtId="0" fontId="9" fillId="0" borderId="28" xfId="0" applyFont="1" applyBorder="1" applyAlignment="1" applyProtection="1">
      <alignment horizontal="left" vertical="top" wrapText="1"/>
      <protection/>
    </xf>
    <xf numFmtId="167" fontId="2" fillId="12" borderId="52" xfId="15" applyNumberFormat="1" applyFont="1" applyFill="1" applyBorder="1" applyAlignment="1">
      <alignment horizontal="center" vertical="center"/>
    </xf>
    <xf numFmtId="167" fontId="2" fillId="12" borderId="56" xfId="15" applyNumberFormat="1" applyFont="1" applyFill="1" applyBorder="1" applyAlignment="1">
      <alignment horizontal="center" vertical="center"/>
    </xf>
    <xf numFmtId="166" fontId="0" fillId="0" borderId="0" xfId="0" applyNumberFormat="1"/>
    <xf numFmtId="3" fontId="2" fillId="12" borderId="54" xfId="0" applyNumberFormat="1" applyFont="1" applyFill="1" applyBorder="1" applyAlignment="1">
      <alignment horizontal="center" vertical="center"/>
    </xf>
    <xf numFmtId="167" fontId="0" fillId="9" borderId="46" xfId="15" applyNumberFormat="1" applyFont="1" applyFill="1" applyBorder="1" applyAlignment="1">
      <alignment horizontal="center" vertical="center"/>
    </xf>
    <xf numFmtId="3" fontId="29" fillId="9" borderId="37" xfId="15" applyNumberFormat="1" applyFont="1" applyFill="1" applyBorder="1" applyAlignment="1">
      <alignment horizontal="center"/>
    </xf>
    <xf numFmtId="167" fontId="0" fillId="9" borderId="47" xfId="15" applyNumberFormat="1" applyFont="1" applyFill="1" applyBorder="1" applyAlignment="1">
      <alignment horizontal="center" vertical="center"/>
    </xf>
    <xf numFmtId="167" fontId="0" fillId="9" borderId="48" xfId="15" applyNumberFormat="1" applyFont="1" applyFill="1" applyBorder="1" applyAlignment="1">
      <alignment horizontal="center" vertical="center"/>
    </xf>
    <xf numFmtId="3" fontId="29" fillId="9" borderId="39" xfId="15" applyNumberFormat="1" applyFont="1" applyFill="1" applyBorder="1" applyAlignment="1">
      <alignment horizontal="center"/>
    </xf>
    <xf numFmtId="167" fontId="0" fillId="2" borderId="46" xfId="15" applyNumberFormat="1" applyFont="1" applyFill="1" applyBorder="1" applyAlignment="1">
      <alignment horizontal="center" vertical="center"/>
    </xf>
    <xf numFmtId="3" fontId="29" fillId="2" borderId="40" xfId="15" applyNumberFormat="1" applyFont="1" applyFill="1" applyBorder="1" applyAlignment="1">
      <alignment horizontal="center"/>
    </xf>
    <xf numFmtId="167" fontId="0" fillId="2" borderId="47" xfId="15" applyNumberFormat="1" applyFont="1" applyFill="1" applyBorder="1" applyAlignment="1">
      <alignment horizontal="center" vertical="center"/>
    </xf>
    <xf numFmtId="3" fontId="29" fillId="2" borderId="28" xfId="15" applyNumberFormat="1" applyFont="1" applyFill="1" applyBorder="1" applyAlignment="1">
      <alignment horizontal="center"/>
    </xf>
    <xf numFmtId="167" fontId="2" fillId="12" borderId="53" xfId="15" applyNumberFormat="1" applyFont="1" applyFill="1" applyBorder="1" applyAlignment="1">
      <alignment horizontal="center" vertical="center"/>
    </xf>
    <xf numFmtId="167" fontId="2" fillId="12" borderId="57" xfId="15" applyNumberFormat="1" applyFont="1" applyFill="1" applyBorder="1" applyAlignment="1">
      <alignment horizontal="center" vertical="center"/>
    </xf>
    <xf numFmtId="3" fontId="0" fillId="0" borderId="0" xfId="0" applyNumberFormat="1" applyAlignment="1">
      <alignment horizontal="center" wrapText="1"/>
    </xf>
    <xf numFmtId="3" fontId="0" fillId="0" borderId="0" xfId="0" applyNumberFormat="1" applyAlignment="1">
      <alignment wrapText="1"/>
    </xf>
    <xf numFmtId="3" fontId="0" fillId="0" borderId="0" xfId="18" applyNumberFormat="1" applyFont="1"/>
    <xf numFmtId="3" fontId="0" fillId="0" borderId="31" xfId="0" applyNumberFormat="1" applyBorder="1"/>
    <xf numFmtId="3" fontId="0" fillId="0" borderId="0" xfId="0" applyNumberFormat="1" applyFill="1" applyBorder="1" applyAlignment="1">
      <alignment horizontal="center" wrapText="1"/>
    </xf>
    <xf numFmtId="3" fontId="0" fillId="0" borderId="0" xfId="18" applyNumberFormat="1" applyFont="1" applyFill="1" applyBorder="1"/>
    <xf numFmtId="3" fontId="0" fillId="0" borderId="28" xfId="0" applyNumberFormat="1" applyBorder="1"/>
    <xf numFmtId="3" fontId="0" fillId="0" borderId="28" xfId="0" applyNumberFormat="1" applyFill="1" applyBorder="1"/>
    <xf numFmtId="3" fontId="0" fillId="2" borderId="0" xfId="0" applyNumberFormat="1" applyFill="1"/>
    <xf numFmtId="37" fontId="10" fillId="3" borderId="17" xfId="0" applyNumberFormat="1" applyFont="1" applyFill="1" applyBorder="1" applyAlignment="1" applyProtection="1">
      <alignment horizontal="center" vertical="center"/>
      <protection locked="0"/>
    </xf>
    <xf numFmtId="37" fontId="10" fillId="3" borderId="65" xfId="0" applyNumberFormat="1" applyFont="1" applyFill="1" applyBorder="1" applyAlignment="1" applyProtection="1">
      <alignment horizontal="center" vertical="center"/>
      <protection locked="0"/>
    </xf>
    <xf numFmtId="37" fontId="10" fillId="3" borderId="63" xfId="0" applyNumberFormat="1" applyFont="1" applyFill="1" applyBorder="1" applyAlignment="1" applyProtection="1">
      <alignment horizontal="center" vertical="center"/>
      <protection locked="0"/>
    </xf>
    <xf numFmtId="37" fontId="10" fillId="3" borderId="13" xfId="0" applyNumberFormat="1" applyFont="1" applyFill="1" applyBorder="1" applyAlignment="1" applyProtection="1">
      <alignment horizontal="center" vertical="center"/>
      <protection locked="0"/>
    </xf>
    <xf numFmtId="37" fontId="10" fillId="3" borderId="27" xfId="0" applyNumberFormat="1" applyFont="1" applyFill="1" applyBorder="1" applyAlignment="1" applyProtection="1">
      <alignment horizontal="center" vertical="center"/>
      <protection locked="0"/>
    </xf>
    <xf numFmtId="37" fontId="10" fillId="3" borderId="20" xfId="0" applyNumberFormat="1" applyFont="1" applyFill="1" applyBorder="1" applyAlignment="1" applyProtection="1">
      <alignment horizontal="center" vertical="center"/>
      <protection locked="0"/>
    </xf>
    <xf numFmtId="3" fontId="10" fillId="3" borderId="17" xfId="18" applyNumberFormat="1" applyFont="1" applyFill="1" applyBorder="1" applyAlignment="1" applyProtection="1">
      <alignment horizontal="center" vertical="center"/>
      <protection locked="0"/>
    </xf>
    <xf numFmtId="3" fontId="10" fillId="3" borderId="65" xfId="18" applyNumberFormat="1" applyFont="1" applyFill="1" applyBorder="1" applyAlignment="1" applyProtection="1">
      <alignment horizontal="center" vertical="center"/>
      <protection locked="0"/>
    </xf>
    <xf numFmtId="3" fontId="10" fillId="3" borderId="63" xfId="18" applyNumberFormat="1" applyFont="1" applyFill="1" applyBorder="1" applyAlignment="1" applyProtection="1">
      <alignment horizontal="center" vertical="center"/>
      <protection locked="0"/>
    </xf>
    <xf numFmtId="3" fontId="10" fillId="3" borderId="13" xfId="0" applyNumberFormat="1" applyFont="1" applyFill="1" applyBorder="1" applyAlignment="1" applyProtection="1">
      <alignment horizontal="center" vertical="center"/>
      <protection locked="0"/>
    </xf>
    <xf numFmtId="167" fontId="0" fillId="0" borderId="0" xfId="0" applyNumberFormat="1" applyBorder="1"/>
    <xf numFmtId="0" fontId="29" fillId="2" borderId="28" xfId="0" applyFont="1" applyFill="1" applyBorder="1" applyAlignment="1">
      <alignment horizontal="center"/>
    </xf>
    <xf numFmtId="167" fontId="0" fillId="0" borderId="0" xfId="15" applyNumberFormat="1" applyFont="1" applyFill="1" applyBorder="1" applyAlignment="1">
      <alignment wrapText="1"/>
    </xf>
    <xf numFmtId="3" fontId="31" fillId="2" borderId="62" xfId="0" applyNumberFormat="1" applyFont="1" applyFill="1" applyBorder="1" applyAlignment="1">
      <alignment horizontal="center" vertical="center" wrapText="1"/>
    </xf>
    <xf numFmtId="165" fontId="2" fillId="0" borderId="13" xfId="0" applyNumberFormat="1" applyFont="1" applyBorder="1" applyAlignment="1">
      <alignment horizontal="center"/>
    </xf>
    <xf numFmtId="165" fontId="2" fillId="0" borderId="27" xfId="0" applyNumberFormat="1" applyFont="1" applyBorder="1" applyAlignment="1">
      <alignment horizontal="center"/>
    </xf>
    <xf numFmtId="165" fontId="2" fillId="0" borderId="20" xfId="0" applyNumberFormat="1" applyFont="1" applyBorder="1" applyAlignment="1">
      <alignment horizontal="center"/>
    </xf>
    <xf numFmtId="1" fontId="2" fillId="2" borderId="13" xfId="0" applyNumberFormat="1" applyFont="1" applyFill="1" applyBorder="1" applyAlignment="1" applyProtection="1">
      <alignment horizontal="center"/>
      <protection/>
    </xf>
    <xf numFmtId="1" fontId="2" fillId="2" borderId="27" xfId="0" applyNumberFormat="1" applyFont="1" applyFill="1" applyBorder="1" applyAlignment="1" applyProtection="1">
      <alignment horizontal="center"/>
      <protection/>
    </xf>
    <xf numFmtId="1" fontId="2" fillId="2" borderId="20" xfId="0" applyNumberFormat="1" applyFont="1" applyFill="1" applyBorder="1" applyAlignment="1" applyProtection="1">
      <alignment horizontal="center"/>
      <protection/>
    </xf>
    <xf numFmtId="0" fontId="2" fillId="3" borderId="20" xfId="0" applyFont="1" applyFill="1" applyBorder="1" applyAlignment="1" applyProtection="1">
      <alignment horizontal="center"/>
      <protection locked="0"/>
    </xf>
    <xf numFmtId="0" fontId="2" fillId="3" borderId="13" xfId="0" applyFont="1" applyFill="1" applyBorder="1" applyAlignment="1" applyProtection="1">
      <alignment horizontal="center"/>
      <protection locked="0"/>
    </xf>
    <xf numFmtId="0" fontId="2" fillId="3" borderId="27" xfId="0" applyFont="1" applyFill="1" applyBorder="1" applyAlignment="1" applyProtection="1">
      <alignment horizontal="center"/>
      <protection locked="0"/>
    </xf>
    <xf numFmtId="0" fontId="2" fillId="3" borderId="80" xfId="0" applyFont="1" applyFill="1" applyBorder="1" applyAlignment="1" applyProtection="1">
      <alignment horizontal="center"/>
      <protection locked="0"/>
    </xf>
    <xf numFmtId="0" fontId="2" fillId="3" borderId="81" xfId="0" applyFont="1" applyFill="1" applyBorder="1" applyAlignment="1" applyProtection="1">
      <alignment horizontal="center"/>
      <protection locked="0"/>
    </xf>
    <xf numFmtId="0" fontId="2" fillId="3" borderId="82" xfId="0" applyFont="1" applyFill="1" applyBorder="1" applyAlignment="1" applyProtection="1">
      <alignment horizontal="center"/>
      <protection locked="0"/>
    </xf>
    <xf numFmtId="0" fontId="2" fillId="3" borderId="83" xfId="0" applyFont="1" applyFill="1" applyBorder="1" applyAlignment="1" applyProtection="1">
      <alignment horizontal="center"/>
      <protection locked="0"/>
    </xf>
    <xf numFmtId="0" fontId="2" fillId="3" borderId="84" xfId="0" applyFont="1" applyFill="1" applyBorder="1" applyAlignment="1" applyProtection="1">
      <alignment horizontal="center"/>
      <protection locked="0"/>
    </xf>
    <xf numFmtId="0" fontId="2" fillId="0" borderId="35" xfId="0" applyFont="1" applyBorder="1" applyAlignment="1" applyProtection="1">
      <alignment horizontal="center" wrapText="1"/>
      <protection locked="0"/>
    </xf>
    <xf numFmtId="0" fontId="2" fillId="0" borderId="85" xfId="0" applyFont="1" applyBorder="1" applyAlignment="1" applyProtection="1">
      <alignment horizontal="center" wrapText="1"/>
      <protection locked="0"/>
    </xf>
    <xf numFmtId="0" fontId="2" fillId="0" borderId="85" xfId="0" applyFont="1" applyFill="1" applyBorder="1" applyAlignment="1" applyProtection="1">
      <alignment horizontal="center" wrapText="1"/>
      <protection locked="0"/>
    </xf>
    <xf numFmtId="0" fontId="2" fillId="0" borderId="86" xfId="0" applyFont="1" applyFill="1" applyBorder="1" applyAlignment="1" applyProtection="1">
      <alignment horizontal="center" wrapText="1"/>
      <protection locked="0"/>
    </xf>
    <xf numFmtId="0" fontId="0" fillId="0" borderId="0" xfId="0" applyFill="1" applyAlignment="1">
      <alignment horizontal="center"/>
    </xf>
    <xf numFmtId="0" fontId="29" fillId="2" borderId="37" xfId="0" applyFont="1" applyFill="1" applyBorder="1" applyAlignment="1">
      <alignment horizontal="center" vertical="center"/>
    </xf>
    <xf numFmtId="0" fontId="29" fillId="2" borderId="72" xfId="0" applyFont="1" applyFill="1" applyBorder="1" applyAlignment="1">
      <alignment horizontal="center" vertical="center"/>
    </xf>
    <xf numFmtId="0" fontId="29" fillId="9" borderId="73" xfId="0" applyFont="1" applyFill="1" applyBorder="1" applyAlignment="1">
      <alignment horizontal="center" vertical="center"/>
    </xf>
    <xf numFmtId="0" fontId="29" fillId="9" borderId="37" xfId="0" applyFont="1" applyFill="1" applyBorder="1" applyAlignment="1">
      <alignment horizontal="center" vertical="center"/>
    </xf>
    <xf numFmtId="0" fontId="0" fillId="2" borderId="28" xfId="0" applyFill="1" applyBorder="1" applyAlignment="1">
      <alignment horizontal="center" vertical="center"/>
    </xf>
    <xf numFmtId="168" fontId="10" fillId="3" borderId="87" xfId="0" applyNumberFormat="1" applyFont="1" applyFill="1" applyBorder="1" applyAlignment="1" applyProtection="1">
      <alignment horizontal="center" vertical="center"/>
      <protection locked="0"/>
    </xf>
    <xf numFmtId="168" fontId="10" fillId="3" borderId="88" xfId="0" applyNumberFormat="1" applyFont="1" applyFill="1" applyBorder="1" applyAlignment="1" applyProtection="1">
      <alignment horizontal="center" vertical="center"/>
      <protection locked="0"/>
    </xf>
    <xf numFmtId="168" fontId="10" fillId="3" borderId="88" xfId="0" applyNumberFormat="1" applyFont="1" applyFill="1" applyBorder="1" applyAlignment="1" applyProtection="1" quotePrefix="1">
      <alignment horizontal="center" vertical="center"/>
      <protection locked="0"/>
    </xf>
    <xf numFmtId="168" fontId="10" fillId="3" borderId="74" xfId="0" applyNumberFormat="1" applyFont="1" applyFill="1" applyBorder="1" applyAlignment="1" applyProtection="1" quotePrefix="1">
      <alignment horizontal="center" vertical="center"/>
      <protection locked="0"/>
    </xf>
    <xf numFmtId="168" fontId="2" fillId="3" borderId="87" xfId="0" applyNumberFormat="1" applyFont="1" applyFill="1" applyBorder="1" applyAlignment="1" applyProtection="1">
      <alignment horizontal="center"/>
      <protection locked="0"/>
    </xf>
    <xf numFmtId="168" fontId="2" fillId="3" borderId="88" xfId="0" applyNumberFormat="1" applyFont="1" applyFill="1" applyBorder="1" applyAlignment="1" applyProtection="1">
      <alignment horizontal="center"/>
      <protection locked="0"/>
    </xf>
    <xf numFmtId="168" fontId="2" fillId="3" borderId="74" xfId="0" applyNumberFormat="1" applyFont="1" applyFill="1" applyBorder="1" applyAlignment="1" applyProtection="1">
      <alignment horizontal="center"/>
      <protection locked="0"/>
    </xf>
    <xf numFmtId="168" fontId="35" fillId="13" borderId="87" xfId="0" applyNumberFormat="1" applyFont="1" applyFill="1" applyBorder="1" applyAlignment="1" applyProtection="1">
      <alignment horizontal="center" vertical="top" wrapText="1"/>
      <protection locked="0"/>
    </xf>
    <xf numFmtId="168" fontId="35" fillId="13" borderId="88" xfId="0" applyNumberFormat="1" applyFont="1" applyFill="1" applyBorder="1" applyAlignment="1" applyProtection="1">
      <alignment horizontal="center" vertical="top" wrapText="1"/>
      <protection locked="0"/>
    </xf>
    <xf numFmtId="168" fontId="35" fillId="13" borderId="74" xfId="0" applyNumberFormat="1" applyFont="1" applyFill="1" applyBorder="1" applyAlignment="1" applyProtection="1">
      <alignment horizontal="center" vertical="top" wrapText="1"/>
      <protection locked="0"/>
    </xf>
    <xf numFmtId="168" fontId="2" fillId="3" borderId="87" xfId="0" applyNumberFormat="1" applyFont="1" applyFill="1" applyBorder="1" applyAlignment="1" applyProtection="1">
      <alignment horizontal="center" vertical="center"/>
      <protection locked="0"/>
    </xf>
    <xf numFmtId="168" fontId="2" fillId="3" borderId="88" xfId="0" applyNumberFormat="1" applyFont="1" applyFill="1" applyBorder="1" applyAlignment="1" applyProtection="1">
      <alignment horizontal="center" vertical="center"/>
      <protection locked="0"/>
    </xf>
    <xf numFmtId="168" fontId="2" fillId="3" borderId="74" xfId="0" applyNumberFormat="1" applyFont="1" applyFill="1" applyBorder="1" applyAlignment="1" applyProtection="1">
      <alignment horizontal="center" vertical="center"/>
      <protection locked="0"/>
    </xf>
    <xf numFmtId="0" fontId="29" fillId="2" borderId="38" xfId="0" applyFont="1" applyFill="1" applyBorder="1" applyAlignment="1">
      <alignment horizontal="center" vertical="top" wrapText="1"/>
    </xf>
    <xf numFmtId="173" fontId="2" fillId="5" borderId="56" xfId="0" applyNumberFormat="1" applyFont="1" applyFill="1" applyBorder="1" applyAlignment="1">
      <alignment horizontal="center" vertical="center"/>
    </xf>
    <xf numFmtId="173" fontId="2" fillId="5" borderId="57" xfId="0" applyNumberFormat="1" applyFont="1" applyFill="1" applyBorder="1" applyAlignment="1">
      <alignment horizontal="center" vertical="center"/>
    </xf>
    <xf numFmtId="173" fontId="2" fillId="5" borderId="54" xfId="0" applyNumberFormat="1" applyFont="1" applyFill="1" applyBorder="1" applyAlignment="1">
      <alignment horizontal="center" vertical="center"/>
    </xf>
    <xf numFmtId="1" fontId="2" fillId="3" borderId="20" xfId="0" applyNumberFormat="1" applyFont="1" applyFill="1" applyBorder="1" applyAlignment="1" applyProtection="1">
      <alignment horizontal="center"/>
      <protection locked="0"/>
    </xf>
    <xf numFmtId="1" fontId="2" fillId="3" borderId="29" xfId="0" applyNumberFormat="1" applyFont="1" applyFill="1" applyBorder="1" applyAlignment="1" applyProtection="1">
      <alignment horizontal="center"/>
      <protection locked="0"/>
    </xf>
    <xf numFmtId="1" fontId="2" fillId="3" borderId="13" xfId="0" applyNumberFormat="1" applyFont="1" applyFill="1" applyBorder="1" applyAlignment="1" applyProtection="1">
      <alignment horizontal="center"/>
      <protection locked="0"/>
    </xf>
    <xf numFmtId="1" fontId="2" fillId="3" borderId="27" xfId="0" applyNumberFormat="1" applyFont="1" applyFill="1" applyBorder="1" applyAlignment="1" applyProtection="1">
      <alignment horizontal="center"/>
      <protection locked="0"/>
    </xf>
    <xf numFmtId="178" fontId="8" fillId="14" borderId="21" xfId="0" applyNumberFormat="1" applyFont="1" applyFill="1" applyBorder="1" applyAlignment="1" applyProtection="1">
      <alignment horizontal="center" vertical="center"/>
      <protection locked="0"/>
    </xf>
    <xf numFmtId="164" fontId="10" fillId="5" borderId="89" xfId="0" applyNumberFormat="1" applyFont="1" applyFill="1" applyBorder="1" applyAlignment="1" applyProtection="1">
      <alignment horizontal="right" vertical="center"/>
      <protection locked="0"/>
    </xf>
    <xf numFmtId="164" fontId="10" fillId="5" borderId="50" xfId="0" applyNumberFormat="1" applyFont="1" applyFill="1" applyBorder="1" applyAlignment="1" applyProtection="1">
      <alignment horizontal="right" vertical="center"/>
      <protection locked="0"/>
    </xf>
    <xf numFmtId="164" fontId="10" fillId="5" borderId="90" xfId="0" applyNumberFormat="1" applyFont="1" applyFill="1" applyBorder="1" applyAlignment="1" applyProtection="1">
      <alignment horizontal="right" vertical="center"/>
      <protection locked="0"/>
    </xf>
    <xf numFmtId="164" fontId="10" fillId="5" borderId="54" xfId="0" applyNumberFormat="1" applyFont="1" applyFill="1" applyBorder="1" applyAlignment="1" applyProtection="1">
      <alignment horizontal="right" vertical="center"/>
      <protection locked="0"/>
    </xf>
    <xf numFmtId="1" fontId="10" fillId="3" borderId="71" xfId="18" applyNumberFormat="1" applyFont="1" applyFill="1" applyBorder="1" applyAlignment="1" applyProtection="1">
      <alignment horizontal="center" vertical="center"/>
      <protection locked="0"/>
    </xf>
    <xf numFmtId="165" fontId="10" fillId="3" borderId="71" xfId="0" applyNumberFormat="1" applyFont="1" applyFill="1" applyBorder="1" applyAlignment="1" applyProtection="1">
      <alignment horizontal="center" vertical="center"/>
      <protection locked="0"/>
    </xf>
    <xf numFmtId="1" fontId="10" fillId="6" borderId="91" xfId="0" applyNumberFormat="1" applyFont="1" applyFill="1" applyBorder="1" applyAlignment="1" applyProtection="1">
      <alignment horizontal="center" vertical="center"/>
      <protection/>
    </xf>
    <xf numFmtId="164" fontId="10" fillId="8" borderId="92" xfId="0" applyNumberFormat="1" applyFont="1" applyFill="1" applyBorder="1" applyAlignment="1" applyProtection="1">
      <alignment horizontal="left" vertical="center"/>
      <protection/>
    </xf>
    <xf numFmtId="1" fontId="10" fillId="3" borderId="93" xfId="18" applyNumberFormat="1" applyFont="1" applyFill="1" applyBorder="1" applyAlignment="1" applyProtection="1">
      <alignment horizontal="center" vertical="center"/>
      <protection locked="0"/>
    </xf>
    <xf numFmtId="165" fontId="10" fillId="3" borderId="93" xfId="0" applyNumberFormat="1" applyFont="1" applyFill="1" applyBorder="1" applyAlignment="1" applyProtection="1">
      <alignment horizontal="center" vertical="center"/>
      <protection locked="0"/>
    </xf>
    <xf numFmtId="1" fontId="10" fillId="6" borderId="94" xfId="0" applyNumberFormat="1" applyFont="1" applyFill="1" applyBorder="1" applyAlignment="1" applyProtection="1">
      <alignment horizontal="center" vertical="center"/>
      <protection/>
    </xf>
    <xf numFmtId="164" fontId="10" fillId="8" borderId="88" xfId="0" applyNumberFormat="1" applyFont="1" applyFill="1" applyBorder="1" applyAlignment="1" applyProtection="1">
      <alignment horizontal="left" vertical="center"/>
      <protection/>
    </xf>
    <xf numFmtId="1" fontId="10" fillId="6" borderId="84" xfId="0" applyNumberFormat="1" applyFont="1" applyFill="1" applyBorder="1" applyAlignment="1" applyProtection="1">
      <alignment horizontal="center" vertical="center"/>
      <protection/>
    </xf>
    <xf numFmtId="164" fontId="10" fillId="8" borderId="74" xfId="0" applyNumberFormat="1" applyFont="1" applyFill="1" applyBorder="1" applyAlignment="1" applyProtection="1">
      <alignment horizontal="left" vertical="center"/>
      <protection/>
    </xf>
    <xf numFmtId="1" fontId="10" fillId="3" borderId="27" xfId="18" applyNumberFormat="1" applyFont="1" applyFill="1" applyBorder="1" applyAlignment="1" applyProtection="1">
      <alignment horizontal="center" vertical="center"/>
      <protection locked="0"/>
    </xf>
    <xf numFmtId="1" fontId="10" fillId="6" borderId="95" xfId="0" applyNumberFormat="1" applyFont="1" applyFill="1" applyBorder="1" applyAlignment="1" applyProtection="1">
      <alignment horizontal="center" vertical="center"/>
      <protection/>
    </xf>
    <xf numFmtId="164" fontId="10" fillId="4" borderId="92" xfId="0" applyNumberFormat="1" applyFont="1" applyFill="1" applyBorder="1" applyAlignment="1" applyProtection="1">
      <alignment horizontal="left" vertical="center"/>
      <protection/>
    </xf>
    <xf numFmtId="164" fontId="10" fillId="4" borderId="88" xfId="0" applyNumberFormat="1" applyFont="1" applyFill="1" applyBorder="1" applyAlignment="1" applyProtection="1">
      <alignment horizontal="left" vertical="center"/>
      <protection/>
    </xf>
    <xf numFmtId="164" fontId="10" fillId="4" borderId="74" xfId="0" applyNumberFormat="1" applyFont="1" applyFill="1" applyBorder="1" applyAlignment="1" applyProtection="1">
      <alignment horizontal="left" vertical="center"/>
      <protection/>
    </xf>
    <xf numFmtId="0" fontId="9" fillId="0" borderId="85" xfId="0" applyFont="1" applyBorder="1" applyAlignment="1" applyProtection="1">
      <alignment horizontal="left" vertical="top" wrapText="1"/>
      <protection/>
    </xf>
    <xf numFmtId="0" fontId="9" fillId="0" borderId="86" xfId="0" applyFont="1" applyBorder="1" applyAlignment="1" applyProtection="1">
      <alignment horizontal="left" vertical="top" wrapText="1"/>
      <protection/>
    </xf>
    <xf numFmtId="0" fontId="8" fillId="0" borderId="35" xfId="0" applyFont="1" applyBorder="1" applyAlignment="1" applyProtection="1">
      <alignment vertical="center"/>
      <protection/>
    </xf>
    <xf numFmtId="0" fontId="7" fillId="0" borderId="85" xfId="0" applyFont="1" applyBorder="1" applyAlignment="1" applyProtection="1">
      <alignment vertical="center"/>
      <protection/>
    </xf>
    <xf numFmtId="0" fontId="0" fillId="0" borderId="85" xfId="0" applyBorder="1" applyProtection="1">
      <protection/>
    </xf>
    <xf numFmtId="0" fontId="0" fillId="0" borderId="86" xfId="0" applyBorder="1" applyProtection="1">
      <protection/>
    </xf>
    <xf numFmtId="0" fontId="7" fillId="0" borderId="85" xfId="0" applyFont="1" applyBorder="1" applyAlignment="1" applyProtection="1">
      <alignment horizontal="left" vertical="center"/>
      <protection/>
    </xf>
    <xf numFmtId="168" fontId="2" fillId="3" borderId="80" xfId="0" applyNumberFormat="1" applyFont="1" applyFill="1" applyBorder="1" applyAlignment="1" applyProtection="1">
      <alignment horizontal="center"/>
      <protection locked="0"/>
    </xf>
    <xf numFmtId="168" fontId="2" fillId="3" borderId="13" xfId="0" applyNumberFormat="1" applyFont="1" applyFill="1" applyBorder="1" applyAlignment="1" applyProtection="1">
      <alignment horizontal="center"/>
      <protection locked="0"/>
    </xf>
    <xf numFmtId="168" fontId="2" fillId="3" borderId="27" xfId="0" applyNumberFormat="1" applyFont="1" applyFill="1" applyBorder="1" applyAlignment="1" applyProtection="1">
      <alignment horizontal="center"/>
      <protection locked="0"/>
    </xf>
    <xf numFmtId="168" fontId="2" fillId="3" borderId="20" xfId="0" applyNumberFormat="1" applyFont="1" applyFill="1" applyBorder="1" applyAlignment="1" applyProtection="1">
      <alignment horizontal="center"/>
      <protection locked="0"/>
    </xf>
    <xf numFmtId="0" fontId="0" fillId="9" borderId="0" xfId="0" applyFill="1"/>
    <xf numFmtId="0" fontId="2" fillId="0" borderId="0" xfId="0" applyFont="1" applyFill="1" applyBorder="1" applyAlignment="1" applyProtection="1">
      <alignment horizontal="center"/>
      <protection locked="0"/>
    </xf>
    <xf numFmtId="0" fontId="0" fillId="0" borderId="31" xfId="0" applyBorder="1" applyAlignment="1">
      <alignment wrapText="1"/>
    </xf>
    <xf numFmtId="0" fontId="0" fillId="0" borderId="31" xfId="0" applyFill="1" applyBorder="1" applyAlignment="1">
      <alignment wrapText="1"/>
    </xf>
    <xf numFmtId="0" fontId="33" fillId="0" borderId="31" xfId="0" applyFont="1" applyBorder="1" applyAlignment="1">
      <alignment horizontal="center" wrapText="1"/>
    </xf>
    <xf numFmtId="3" fontId="33" fillId="0" borderId="31" xfId="0" applyNumberFormat="1" applyFont="1" applyBorder="1" applyAlignment="1">
      <alignment horizontal="center" wrapText="1"/>
    </xf>
    <xf numFmtId="0" fontId="33" fillId="0" borderId="31" xfId="0" applyFont="1" applyBorder="1" applyAlignment="1">
      <alignment wrapText="1"/>
    </xf>
    <xf numFmtId="0" fontId="0" fillId="0" borderId="32" xfId="0" applyBorder="1" applyAlignment="1">
      <alignment wrapText="1"/>
    </xf>
    <xf numFmtId="0" fontId="0" fillId="0" borderId="10" xfId="0" applyBorder="1"/>
    <xf numFmtId="168" fontId="0" fillId="0" borderId="28" xfId="0" applyNumberFormat="1" applyBorder="1"/>
    <xf numFmtId="2" fontId="0" fillId="2" borderId="47" xfId="0" applyNumberFormat="1" applyFill="1" applyBorder="1" applyAlignment="1">
      <alignment horizontal="center" vertical="center"/>
    </xf>
    <xf numFmtId="2" fontId="0" fillId="2" borderId="46" xfId="0" applyNumberFormat="1" applyFill="1" applyBorder="1" applyAlignment="1">
      <alignment horizontal="center" vertical="center"/>
    </xf>
    <xf numFmtId="2" fontId="0" fillId="2" borderId="48" xfId="0" applyNumberFormat="1" applyFill="1" applyBorder="1" applyAlignment="1">
      <alignment horizontal="center" vertical="center"/>
    </xf>
    <xf numFmtId="0" fontId="9" fillId="0" borderId="30" xfId="0" applyFont="1" applyBorder="1" applyAlignment="1" applyProtection="1">
      <alignment horizontal="left" vertical="top" wrapText="1"/>
      <protection/>
    </xf>
    <xf numFmtId="0" fontId="9" fillId="0" borderId="31" xfId="0" applyFont="1" applyBorder="1" applyAlignment="1" applyProtection="1">
      <alignment horizontal="left" vertical="top" wrapText="1"/>
      <protection/>
    </xf>
    <xf numFmtId="0" fontId="9" fillId="0" borderId="32" xfId="0" applyFont="1" applyBorder="1" applyAlignment="1" applyProtection="1">
      <alignment horizontal="left" vertical="top" wrapText="1"/>
      <protection/>
    </xf>
    <xf numFmtId="0" fontId="9" fillId="0" borderId="10" xfId="0" applyFont="1"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0" fontId="9" fillId="0" borderId="1" xfId="0" applyFont="1" applyBorder="1" applyAlignment="1" applyProtection="1">
      <alignment horizontal="left" vertical="top" wrapText="1"/>
      <protection/>
    </xf>
    <xf numFmtId="0" fontId="9" fillId="0" borderId="33" xfId="0" applyFont="1" applyBorder="1" applyAlignment="1" applyProtection="1">
      <alignment horizontal="left" vertical="top" wrapText="1"/>
      <protection/>
    </xf>
    <xf numFmtId="0" fontId="9" fillId="0" borderId="28" xfId="0" applyFont="1" applyBorder="1" applyAlignment="1" applyProtection="1">
      <alignment horizontal="left" vertical="top" wrapText="1"/>
      <protection/>
    </xf>
    <xf numFmtId="0" fontId="9" fillId="0" borderId="34" xfId="0" applyFont="1" applyBorder="1" applyAlignment="1" applyProtection="1">
      <alignment horizontal="left" vertical="top" wrapText="1"/>
      <protection/>
    </xf>
    <xf numFmtId="0" fontId="9" fillId="15" borderId="35" xfId="0" applyFont="1" applyFill="1" applyBorder="1" applyAlignment="1" applyProtection="1">
      <alignment horizontal="left" vertical="top" wrapText="1"/>
      <protection/>
    </xf>
    <xf numFmtId="0" fontId="9" fillId="15" borderId="85" xfId="0" applyFont="1" applyFill="1" applyBorder="1" applyAlignment="1" applyProtection="1">
      <alignment horizontal="left" vertical="top" wrapText="1"/>
      <protection/>
    </xf>
    <xf numFmtId="0" fontId="9" fillId="15" borderId="86" xfId="0" applyFont="1" applyFill="1" applyBorder="1" applyAlignment="1" applyProtection="1">
      <alignment horizontal="left" vertical="top" wrapText="1"/>
      <protection/>
    </xf>
    <xf numFmtId="0" fontId="38" fillId="0" borderId="30" xfId="0" applyFont="1" applyBorder="1" applyAlignment="1" applyProtection="1">
      <alignment vertical="center" wrapText="1"/>
      <protection/>
    </xf>
    <xf numFmtId="0" fontId="39" fillId="0" borderId="31" xfId="0" applyFont="1" applyBorder="1" applyAlignment="1">
      <alignment/>
    </xf>
    <xf numFmtId="0" fontId="39" fillId="0" borderId="32" xfId="0" applyFont="1" applyBorder="1" applyAlignment="1">
      <alignment/>
    </xf>
    <xf numFmtId="0" fontId="39" fillId="0" borderId="33" xfId="0" applyFont="1" applyBorder="1" applyAlignment="1">
      <alignment/>
    </xf>
    <xf numFmtId="0" fontId="39" fillId="0" borderId="28" xfId="0" applyFont="1" applyBorder="1" applyAlignment="1">
      <alignment/>
    </xf>
    <xf numFmtId="0" fontId="39" fillId="0" borderId="34" xfId="0" applyFont="1" applyBorder="1" applyAlignment="1">
      <alignment/>
    </xf>
    <xf numFmtId="0" fontId="3" fillId="16" borderId="30" xfId="0" applyFont="1" applyFill="1" applyBorder="1" applyAlignment="1" applyProtection="1">
      <alignment horizontal="left" vertical="top" wrapText="1"/>
      <protection/>
    </xf>
    <xf numFmtId="0" fontId="3" fillId="16" borderId="31" xfId="0" applyFont="1" applyFill="1" applyBorder="1" applyAlignment="1" applyProtection="1">
      <alignment horizontal="left" vertical="top" wrapText="1"/>
      <protection/>
    </xf>
    <xf numFmtId="0" fontId="3" fillId="16" borderId="32" xfId="0" applyFont="1" applyFill="1" applyBorder="1" applyAlignment="1" applyProtection="1">
      <alignment horizontal="left" vertical="top" wrapText="1"/>
      <protection/>
    </xf>
    <xf numFmtId="0" fontId="3" fillId="16" borderId="10" xfId="0" applyFont="1" applyFill="1" applyBorder="1" applyAlignment="1" applyProtection="1">
      <alignment horizontal="left" vertical="top" wrapText="1"/>
      <protection/>
    </xf>
    <xf numFmtId="0" fontId="3" fillId="16" borderId="0" xfId="0" applyFont="1" applyFill="1" applyBorder="1" applyAlignment="1" applyProtection="1">
      <alignment horizontal="left" vertical="top" wrapText="1"/>
      <protection/>
    </xf>
    <xf numFmtId="0" fontId="3" fillId="16" borderId="1" xfId="0" applyFont="1" applyFill="1" applyBorder="1" applyAlignment="1" applyProtection="1">
      <alignment horizontal="left" vertical="top" wrapText="1"/>
      <protection/>
    </xf>
    <xf numFmtId="0" fontId="3" fillId="16" borderId="33" xfId="0" applyFont="1" applyFill="1" applyBorder="1" applyAlignment="1" applyProtection="1">
      <alignment horizontal="left" vertical="top" wrapText="1"/>
      <protection/>
    </xf>
    <xf numFmtId="0" fontId="3" fillId="16" borderId="28" xfId="0" applyFont="1" applyFill="1" applyBorder="1" applyAlignment="1" applyProtection="1">
      <alignment horizontal="left" vertical="top" wrapText="1"/>
      <protection/>
    </xf>
    <xf numFmtId="0" fontId="3" fillId="16" borderId="34" xfId="0" applyFont="1" applyFill="1" applyBorder="1" applyAlignment="1" applyProtection="1">
      <alignment horizontal="left" vertical="top" wrapText="1"/>
      <protection/>
    </xf>
    <xf numFmtId="0" fontId="8" fillId="0" borderId="35" xfId="0" applyFont="1" applyBorder="1" applyAlignment="1" applyProtection="1">
      <alignment horizontal="left" vertical="top"/>
      <protection/>
    </xf>
    <xf numFmtId="0" fontId="8" fillId="0" borderId="85" xfId="0" applyFont="1" applyBorder="1" applyAlignment="1" applyProtection="1">
      <alignment horizontal="left" vertical="top"/>
      <protection/>
    </xf>
    <xf numFmtId="0" fontId="9" fillId="0" borderId="10" xfId="0" applyFont="1" applyBorder="1" applyAlignment="1" applyProtection="1" quotePrefix="1">
      <alignment horizontal="left" vertical="top" wrapText="1"/>
      <protection/>
    </xf>
    <xf numFmtId="0" fontId="6" fillId="0" borderId="30" xfId="0" applyFont="1" applyBorder="1" applyAlignment="1" applyProtection="1">
      <alignment horizontal="left" vertical="top" wrapText="1"/>
      <protection/>
    </xf>
    <xf numFmtId="0" fontId="6" fillId="0" borderId="31" xfId="0" applyFont="1" applyBorder="1" applyAlignment="1" applyProtection="1">
      <alignment horizontal="left" vertical="top" wrapText="1"/>
      <protection/>
    </xf>
    <xf numFmtId="0" fontId="6" fillId="0" borderId="32" xfId="0" applyFont="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0" xfId="0" applyFont="1" applyBorder="1" applyAlignment="1" applyProtection="1">
      <alignment horizontal="left" vertical="top" wrapText="1"/>
      <protection/>
    </xf>
    <xf numFmtId="0" fontId="6" fillId="0" borderId="1" xfId="0" applyFont="1" applyBorder="1" applyAlignment="1" applyProtection="1">
      <alignment horizontal="left" vertical="top" wrapText="1"/>
      <protection/>
    </xf>
    <xf numFmtId="0" fontId="6" fillId="0" borderId="33" xfId="0" applyFont="1" applyBorder="1" applyAlignment="1" applyProtection="1">
      <alignment horizontal="left" vertical="top" wrapText="1"/>
      <protection/>
    </xf>
    <xf numFmtId="0" fontId="6" fillId="0" borderId="28" xfId="0" applyFont="1" applyBorder="1" applyAlignment="1" applyProtection="1">
      <alignment horizontal="left" vertical="top" wrapText="1"/>
      <protection/>
    </xf>
    <xf numFmtId="0" fontId="6" fillId="0" borderId="34" xfId="0" applyFont="1" applyBorder="1" applyAlignment="1" applyProtection="1">
      <alignment horizontal="left" vertical="top" wrapText="1"/>
      <protection/>
    </xf>
    <xf numFmtId="0" fontId="9" fillId="0" borderId="35" xfId="0" applyFont="1" applyBorder="1" applyAlignment="1" applyProtection="1">
      <alignment horizontal="left" vertical="top" wrapText="1"/>
      <protection/>
    </xf>
    <xf numFmtId="0" fontId="9" fillId="0" borderId="85" xfId="0" applyFont="1" applyBorder="1" applyAlignment="1" applyProtection="1">
      <alignment horizontal="left" vertical="top" wrapText="1"/>
      <protection/>
    </xf>
    <xf numFmtId="0" fontId="9" fillId="0" borderId="86" xfId="0" applyFont="1" applyBorder="1" applyAlignment="1" applyProtection="1">
      <alignment horizontal="left" vertical="top" wrapText="1"/>
      <protection/>
    </xf>
    <xf numFmtId="0" fontId="14" fillId="0" borderId="96" xfId="0" applyFont="1" applyBorder="1" applyAlignment="1" applyProtection="1">
      <alignment horizontal="center" vertical="center" wrapText="1"/>
      <protection/>
    </xf>
    <xf numFmtId="0" fontId="14" fillId="0" borderId="97" xfId="0" applyFont="1" applyBorder="1" applyAlignment="1" applyProtection="1">
      <alignment horizontal="center" vertical="center" wrapText="1"/>
      <protection/>
    </xf>
    <xf numFmtId="0" fontId="14" fillId="0" borderId="98" xfId="0" applyFont="1" applyBorder="1" applyAlignment="1" applyProtection="1">
      <alignment horizontal="center" vertical="center" wrapText="1"/>
      <protection/>
    </xf>
    <xf numFmtId="0" fontId="8" fillId="0" borderId="30" xfId="0" applyFont="1" applyBorder="1" applyAlignment="1" applyProtection="1">
      <alignment horizontal="center" vertical="center" wrapText="1"/>
      <protection/>
    </xf>
    <xf numFmtId="0" fontId="8" fillId="0" borderId="31" xfId="0" applyFont="1" applyBorder="1" applyAlignment="1" applyProtection="1">
      <alignment horizontal="center" vertical="center" wrapText="1"/>
      <protection/>
    </xf>
    <xf numFmtId="0" fontId="8" fillId="0" borderId="32"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8" fillId="0" borderId="1" xfId="0" applyFont="1" applyBorder="1" applyAlignment="1" applyProtection="1">
      <alignment horizontal="center" vertical="center" wrapText="1"/>
      <protection/>
    </xf>
    <xf numFmtId="0" fontId="8" fillId="0" borderId="33" xfId="0" applyFont="1" applyBorder="1" applyAlignment="1" applyProtection="1">
      <alignment horizontal="center" vertical="center" wrapText="1"/>
      <protection/>
    </xf>
    <xf numFmtId="0" fontId="8" fillId="0" borderId="28" xfId="0" applyFont="1" applyBorder="1" applyAlignment="1" applyProtection="1">
      <alignment horizontal="center" vertical="center" wrapText="1"/>
      <protection/>
    </xf>
    <xf numFmtId="0" fontId="8" fillId="0" borderId="34" xfId="0" applyFont="1" applyBorder="1" applyAlignment="1" applyProtection="1">
      <alignment horizontal="center" vertical="center" wrapText="1"/>
      <protection/>
    </xf>
    <xf numFmtId="0" fontId="8" fillId="3" borderId="99" xfId="0" applyFont="1" applyFill="1" applyBorder="1" applyAlignment="1" applyProtection="1">
      <alignment horizontal="center" vertical="center" wrapText="1"/>
      <protection locked="0"/>
    </xf>
    <xf numFmtId="0" fontId="8" fillId="3" borderId="100" xfId="0" applyFont="1" applyFill="1" applyBorder="1" applyAlignment="1" applyProtection="1">
      <alignment horizontal="center" vertical="center" wrapText="1"/>
      <protection locked="0"/>
    </xf>
    <xf numFmtId="0" fontId="8" fillId="3" borderId="101" xfId="0" applyFont="1" applyFill="1" applyBorder="1" applyAlignment="1" applyProtection="1">
      <alignment horizontal="center" vertical="center" wrapText="1"/>
      <protection locked="0"/>
    </xf>
    <xf numFmtId="0" fontId="9" fillId="3" borderId="102" xfId="0" applyFont="1" applyFill="1" applyBorder="1" applyAlignment="1" applyProtection="1">
      <alignment horizontal="left" vertical="top" wrapText="1"/>
      <protection locked="0"/>
    </xf>
    <xf numFmtId="0" fontId="8" fillId="3" borderId="103" xfId="0" applyFont="1" applyFill="1" applyBorder="1" applyAlignment="1" applyProtection="1">
      <alignment horizontal="left" vertical="top" wrapText="1"/>
      <protection locked="0"/>
    </xf>
    <xf numFmtId="0" fontId="8" fillId="3" borderId="104" xfId="0" applyFont="1" applyFill="1" applyBorder="1" applyAlignment="1" applyProtection="1">
      <alignment horizontal="left" vertical="top" wrapText="1"/>
      <protection locked="0"/>
    </xf>
    <xf numFmtId="0" fontId="10" fillId="3" borderId="35" xfId="0" applyFont="1" applyFill="1" applyBorder="1" applyAlignment="1" applyProtection="1">
      <alignment horizontal="left"/>
      <protection locked="0"/>
    </xf>
    <xf numFmtId="0" fontId="10" fillId="3" borderId="85" xfId="0" applyFont="1" applyFill="1" applyBorder="1" applyAlignment="1" applyProtection="1">
      <alignment horizontal="left"/>
      <protection locked="0"/>
    </xf>
    <xf numFmtId="0" fontId="10" fillId="3" borderId="105" xfId="0" applyFont="1" applyFill="1" applyBorder="1" applyAlignment="1" applyProtection="1">
      <alignment horizontal="left"/>
      <protection locked="0"/>
    </xf>
    <xf numFmtId="0" fontId="10" fillId="3" borderId="85" xfId="0" applyFont="1" applyFill="1" applyBorder="1" applyAlignment="1" applyProtection="1">
      <alignment horizontal="center"/>
      <protection locked="0"/>
    </xf>
    <xf numFmtId="0" fontId="10" fillId="3" borderId="105" xfId="0" applyFont="1" applyFill="1" applyBorder="1" applyAlignment="1" applyProtection="1">
      <alignment horizontal="center"/>
      <protection locked="0"/>
    </xf>
    <xf numFmtId="0" fontId="17" fillId="0" borderId="30" xfId="0" applyFont="1" applyBorder="1" applyAlignment="1" applyProtection="1">
      <alignment horizontal="left" vertical="top" wrapText="1"/>
      <protection/>
    </xf>
    <xf numFmtId="0" fontId="17" fillId="0" borderId="31" xfId="0" applyFont="1" applyBorder="1" applyAlignment="1" applyProtection="1">
      <alignment horizontal="left" vertical="top" wrapText="1"/>
      <protection/>
    </xf>
    <xf numFmtId="0" fontId="17" fillId="0" borderId="32" xfId="0" applyFont="1" applyBorder="1" applyAlignment="1" applyProtection="1">
      <alignment horizontal="left" vertical="top" wrapText="1"/>
      <protection/>
    </xf>
    <xf numFmtId="0" fontId="17" fillId="0" borderId="10" xfId="0" applyFont="1" applyBorder="1" applyAlignment="1" applyProtection="1">
      <alignment horizontal="left" vertical="top" wrapText="1"/>
      <protection/>
    </xf>
    <xf numFmtId="0" fontId="17" fillId="0" borderId="0" xfId="0" applyFont="1" applyBorder="1" applyAlignment="1" applyProtection="1">
      <alignment horizontal="left" vertical="top" wrapText="1"/>
      <protection/>
    </xf>
    <xf numFmtId="0" fontId="17" fillId="0" borderId="1" xfId="0" applyFont="1" applyBorder="1" applyAlignment="1" applyProtection="1">
      <alignment horizontal="left" vertical="top" wrapText="1"/>
      <protection/>
    </xf>
    <xf numFmtId="0" fontId="17" fillId="0" borderId="33" xfId="0" applyFont="1" applyBorder="1" applyAlignment="1" applyProtection="1">
      <alignment horizontal="left" vertical="top" wrapText="1"/>
      <protection/>
    </xf>
    <xf numFmtId="0" fontId="17" fillId="0" borderId="28" xfId="0" applyFont="1" applyBorder="1" applyAlignment="1" applyProtection="1">
      <alignment horizontal="left" vertical="top" wrapText="1"/>
      <protection/>
    </xf>
    <xf numFmtId="0" fontId="17" fillId="0" borderId="34" xfId="0" applyFont="1" applyBorder="1" applyAlignment="1" applyProtection="1">
      <alignment horizontal="left" vertical="top" wrapText="1"/>
      <protection/>
    </xf>
    <xf numFmtId="0" fontId="11" fillId="0" borderId="106" xfId="0" applyFont="1" applyBorder="1" applyAlignment="1" applyProtection="1">
      <alignment horizontal="center" vertical="center" wrapText="1"/>
      <protection/>
    </xf>
    <xf numFmtId="0" fontId="22" fillId="0" borderId="107" xfId="0" applyFont="1" applyBorder="1" applyAlignment="1" applyProtection="1">
      <alignment horizontal="center" vertical="center"/>
      <protection/>
    </xf>
    <xf numFmtId="0" fontId="22" fillId="0" borderId="108" xfId="0" applyFont="1" applyBorder="1" applyAlignment="1" applyProtection="1">
      <alignment horizontal="center" vertical="center"/>
      <protection/>
    </xf>
    <xf numFmtId="0" fontId="10" fillId="3" borderId="103" xfId="0" applyFont="1" applyFill="1" applyBorder="1" applyAlignment="1" applyProtection="1">
      <alignment horizontal="left"/>
      <protection locked="0"/>
    </xf>
    <xf numFmtId="0" fontId="10" fillId="3" borderId="109" xfId="0" applyFont="1" applyFill="1" applyBorder="1" applyAlignment="1" applyProtection="1">
      <alignment horizontal="left"/>
      <protection locked="0"/>
    </xf>
    <xf numFmtId="0" fontId="10" fillId="3" borderId="110" xfId="0" applyFont="1" applyFill="1" applyBorder="1" applyAlignment="1" applyProtection="1">
      <alignment horizontal="left"/>
      <protection locked="0"/>
    </xf>
    <xf numFmtId="0" fontId="10" fillId="3" borderId="103" xfId="0" applyFont="1" applyFill="1" applyBorder="1" applyAlignment="1" applyProtection="1">
      <alignment horizontal="center"/>
      <protection locked="0"/>
    </xf>
    <xf numFmtId="0" fontId="10" fillId="3" borderId="109" xfId="0" applyFont="1" applyFill="1" applyBorder="1" applyAlignment="1" applyProtection="1">
      <alignment horizontal="center"/>
      <protection locked="0"/>
    </xf>
    <xf numFmtId="0" fontId="24" fillId="0" borderId="111" xfId="0" applyFont="1" applyBorder="1" applyAlignment="1" applyProtection="1">
      <alignment horizontal="center" vertical="center" wrapText="1"/>
      <protection/>
    </xf>
    <xf numFmtId="0" fontId="24" fillId="0" borderId="112" xfId="0" applyFont="1" applyBorder="1" applyAlignment="1" applyProtection="1">
      <alignment horizontal="center" vertical="center" wrapText="1"/>
      <protection/>
    </xf>
    <xf numFmtId="0" fontId="24" fillId="0" borderId="113" xfId="0" applyFont="1" applyBorder="1" applyAlignment="1" applyProtection="1">
      <alignment horizontal="center" vertical="center" wrapText="1"/>
      <protection/>
    </xf>
    <xf numFmtId="0" fontId="4" fillId="16" borderId="114" xfId="0" applyFont="1" applyFill="1" applyBorder="1" applyAlignment="1" applyProtection="1">
      <alignment horizontal="center" vertical="center" wrapText="1"/>
      <protection/>
    </xf>
    <xf numFmtId="0" fontId="0" fillId="0" borderId="115" xfId="0" applyBorder="1" applyAlignment="1" applyProtection="1">
      <alignment horizontal="center" vertical="center" wrapText="1"/>
      <protection/>
    </xf>
    <xf numFmtId="0" fontId="0" fillId="0" borderId="116" xfId="0" applyBorder="1" applyAlignment="1" applyProtection="1">
      <alignment horizontal="center" vertical="center" wrapText="1"/>
      <protection/>
    </xf>
    <xf numFmtId="0" fontId="0" fillId="0" borderId="2"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117" xfId="0" applyBorder="1" applyAlignment="1" applyProtection="1">
      <alignment horizontal="center" vertical="center" wrapText="1"/>
      <protection/>
    </xf>
    <xf numFmtId="0" fontId="0" fillId="0" borderId="118" xfId="0" applyBorder="1" applyAlignment="1" applyProtection="1">
      <alignment horizontal="center" vertical="center" wrapText="1"/>
      <protection/>
    </xf>
    <xf numFmtId="0" fontId="0" fillId="0" borderId="119" xfId="0" applyBorder="1" applyAlignment="1" applyProtection="1">
      <alignment horizontal="center" vertical="center" wrapText="1"/>
      <protection/>
    </xf>
    <xf numFmtId="0" fontId="0" fillId="0" borderId="120" xfId="0" applyBorder="1" applyAlignment="1" applyProtection="1">
      <alignment horizontal="center" vertical="center" wrapText="1"/>
      <protection/>
    </xf>
    <xf numFmtId="0" fontId="11" fillId="0" borderId="35" xfId="0" applyFont="1" applyBorder="1" applyAlignment="1" applyProtection="1">
      <alignment horizontal="center" vertical="center" wrapText="1"/>
      <protection/>
    </xf>
    <xf numFmtId="0" fontId="11" fillId="0" borderId="85" xfId="0" applyFont="1" applyBorder="1" applyAlignment="1" applyProtection="1">
      <alignment horizontal="center" vertical="center"/>
      <protection/>
    </xf>
    <xf numFmtId="14" fontId="16" fillId="2" borderId="35" xfId="0" applyNumberFormat="1" applyFont="1" applyFill="1" applyBorder="1" applyAlignment="1" applyProtection="1">
      <alignment horizontal="center" vertical="center" wrapText="1"/>
      <protection/>
    </xf>
    <xf numFmtId="14" fontId="16" fillId="2" borderId="86" xfId="0" applyNumberFormat="1" applyFont="1" applyFill="1" applyBorder="1" applyAlignment="1" applyProtection="1">
      <alignment horizontal="center" vertical="center" wrapText="1"/>
      <protection/>
    </xf>
    <xf numFmtId="0" fontId="11" fillId="0" borderId="35" xfId="0" applyFont="1" applyBorder="1" applyAlignment="1" applyProtection="1">
      <alignment horizontal="right" vertical="center"/>
      <protection/>
    </xf>
    <xf numFmtId="0" fontId="11" fillId="0" borderId="85" xfId="0" applyFont="1" applyBorder="1" applyAlignment="1" applyProtection="1">
      <alignment horizontal="right" vertical="center"/>
      <protection/>
    </xf>
    <xf numFmtId="0" fontId="8" fillId="3" borderId="21" xfId="0" applyFont="1" applyFill="1" applyBorder="1" applyAlignment="1" applyProtection="1">
      <alignment horizontal="left" vertical="center" wrapText="1"/>
      <protection locked="0"/>
    </xf>
    <xf numFmtId="0" fontId="8" fillId="3" borderId="21" xfId="0" applyFont="1" applyFill="1" applyBorder="1" applyAlignment="1" applyProtection="1">
      <alignment horizontal="left" vertical="center"/>
      <protection locked="0"/>
    </xf>
    <xf numFmtId="0" fontId="15" fillId="3" borderId="21" xfId="0" applyFont="1" applyFill="1" applyBorder="1" applyAlignment="1" applyProtection="1">
      <alignment horizontal="center" vertical="center"/>
      <protection locked="0"/>
    </xf>
    <xf numFmtId="167" fontId="32" fillId="2" borderId="62" xfId="0" applyNumberFormat="1" applyFont="1" applyFill="1" applyBorder="1" applyAlignment="1">
      <alignment horizontal="center" vertical="center"/>
    </xf>
    <xf numFmtId="167" fontId="32" fillId="2" borderId="38" xfId="0" applyNumberFormat="1" applyFont="1" applyFill="1" applyBorder="1" applyAlignment="1">
      <alignment horizontal="center" vertical="center"/>
    </xf>
    <xf numFmtId="0" fontId="0" fillId="11" borderId="0" xfId="0" applyFill="1" applyBorder="1" applyAlignment="1">
      <alignment horizontal="center" vertical="center"/>
    </xf>
    <xf numFmtId="167" fontId="32" fillId="2" borderId="61" xfId="15" applyNumberFormat="1" applyFont="1" applyFill="1" applyBorder="1" applyAlignment="1">
      <alignment horizontal="center" vertical="center"/>
    </xf>
    <xf numFmtId="167" fontId="32" fillId="2" borderId="36" xfId="15" applyNumberFormat="1" applyFont="1" applyFill="1" applyBorder="1" applyAlignment="1">
      <alignment horizontal="center" vertical="center"/>
    </xf>
    <xf numFmtId="9" fontId="32" fillId="9" borderId="62" xfId="0" applyNumberFormat="1" applyFont="1" applyFill="1" applyBorder="1" applyAlignment="1">
      <alignment horizontal="center" vertical="center"/>
    </xf>
    <xf numFmtId="9" fontId="32" fillId="9" borderId="36" xfId="0" applyNumberFormat="1" applyFont="1" applyFill="1" applyBorder="1" applyAlignment="1">
      <alignment horizontal="center" vertical="center"/>
    </xf>
    <xf numFmtId="167" fontId="32" fillId="2" borderId="62" xfId="15" applyNumberFormat="1" applyFont="1" applyFill="1" applyBorder="1" applyAlignment="1">
      <alignment horizontal="center" vertical="center"/>
    </xf>
    <xf numFmtId="167" fontId="32" fillId="9" borderId="62" xfId="0" applyNumberFormat="1" applyFont="1" applyFill="1" applyBorder="1" applyAlignment="1">
      <alignment horizontal="center" vertical="center"/>
    </xf>
    <xf numFmtId="167" fontId="32" fillId="9" borderId="36" xfId="0" applyNumberFormat="1" applyFont="1" applyFill="1" applyBorder="1" applyAlignment="1">
      <alignment horizontal="center" vertical="center"/>
    </xf>
    <xf numFmtId="167" fontId="32" fillId="9" borderId="62" xfId="15" applyNumberFormat="1" applyFont="1" applyFill="1" applyBorder="1" applyAlignment="1">
      <alignment horizontal="center" vertical="center"/>
    </xf>
    <xf numFmtId="167" fontId="32" fillId="9" borderId="36" xfId="15" applyNumberFormat="1" applyFont="1" applyFill="1" applyBorder="1" applyAlignment="1">
      <alignment horizontal="center" vertical="center"/>
    </xf>
    <xf numFmtId="0" fontId="30" fillId="10" borderId="30" xfId="0" applyFont="1" applyFill="1" applyBorder="1" applyAlignment="1">
      <alignment horizontal="center" vertical="center"/>
    </xf>
    <xf numFmtId="0" fontId="30" fillId="10" borderId="31" xfId="0" applyFont="1" applyFill="1" applyBorder="1" applyAlignment="1">
      <alignment horizontal="center" vertical="center"/>
    </xf>
    <xf numFmtId="0" fontId="30" fillId="10" borderId="32" xfId="0" applyFont="1" applyFill="1" applyBorder="1" applyAlignment="1">
      <alignment horizontal="center" vertical="center"/>
    </xf>
    <xf numFmtId="0" fontId="30" fillId="10" borderId="33" xfId="0" applyFont="1" applyFill="1" applyBorder="1" applyAlignment="1">
      <alignment horizontal="center" vertical="center"/>
    </xf>
    <xf numFmtId="0" fontId="30" fillId="10" borderId="28" xfId="0" applyFont="1" applyFill="1" applyBorder="1" applyAlignment="1">
      <alignment horizontal="center" vertical="center"/>
    </xf>
    <xf numFmtId="0" fontId="30" fillId="10" borderId="34" xfId="0" applyFont="1" applyFill="1" applyBorder="1" applyAlignment="1">
      <alignment horizontal="center" vertical="center"/>
    </xf>
    <xf numFmtId="0" fontId="30" fillId="5" borderId="30" xfId="0" applyFont="1" applyFill="1" applyBorder="1" applyAlignment="1">
      <alignment horizontal="center" vertical="center"/>
    </xf>
    <xf numFmtId="0" fontId="30" fillId="5" borderId="31" xfId="0" applyFont="1" applyFill="1" applyBorder="1" applyAlignment="1">
      <alignment horizontal="center" vertical="center"/>
    </xf>
    <xf numFmtId="0" fontId="30" fillId="5" borderId="32" xfId="0" applyFont="1" applyFill="1" applyBorder="1" applyAlignment="1">
      <alignment horizontal="center" vertical="center"/>
    </xf>
    <xf numFmtId="0" fontId="30" fillId="5" borderId="33" xfId="0" applyFont="1" applyFill="1" applyBorder="1" applyAlignment="1">
      <alignment horizontal="center" vertical="center"/>
    </xf>
    <xf numFmtId="0" fontId="30" fillId="5" borderId="28" xfId="0" applyFont="1" applyFill="1" applyBorder="1" applyAlignment="1">
      <alignment horizontal="center" vertical="center"/>
    </xf>
    <xf numFmtId="0" fontId="30" fillId="5" borderId="34" xfId="0" applyFont="1" applyFill="1" applyBorder="1" applyAlignment="1">
      <alignment horizontal="center" vertical="center"/>
    </xf>
    <xf numFmtId="167" fontId="32" fillId="2" borderId="38" xfId="15" applyNumberFormat="1" applyFont="1" applyFill="1" applyBorder="1" applyAlignment="1">
      <alignment horizontal="center" vertical="center"/>
    </xf>
    <xf numFmtId="0" fontId="30" fillId="12" borderId="30" xfId="0" applyFont="1" applyFill="1" applyBorder="1" applyAlignment="1">
      <alignment horizontal="center" vertical="center"/>
    </xf>
    <xf numFmtId="0" fontId="30" fillId="12" borderId="31" xfId="0" applyFont="1" applyFill="1" applyBorder="1" applyAlignment="1">
      <alignment horizontal="center" vertical="center"/>
    </xf>
    <xf numFmtId="0" fontId="30" fillId="12" borderId="32" xfId="0" applyFont="1" applyFill="1" applyBorder="1" applyAlignment="1">
      <alignment horizontal="center" vertical="center"/>
    </xf>
    <xf numFmtId="0" fontId="30" fillId="12" borderId="33" xfId="0" applyFont="1" applyFill="1" applyBorder="1" applyAlignment="1">
      <alignment horizontal="center" vertical="center"/>
    </xf>
    <xf numFmtId="0" fontId="30" fillId="12" borderId="28" xfId="0" applyFont="1" applyFill="1" applyBorder="1" applyAlignment="1">
      <alignment horizontal="center" vertical="center"/>
    </xf>
    <xf numFmtId="0" fontId="30" fillId="12" borderId="34" xfId="0" applyFont="1" applyFill="1" applyBorder="1" applyAlignment="1">
      <alignment horizontal="center" vertical="center"/>
    </xf>
    <xf numFmtId="0" fontId="0" fillId="11" borderId="10" xfId="0"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70">
    <dxf>
      <numFmt numFmtId="168" formatCode="0.0"/>
      <border>
        <left style="thin"/>
      </border>
    </dxf>
    <dxf>
      <numFmt numFmtId="179" formatCode="General"/>
      <border>
        <left style="thin"/>
      </border>
    </dxf>
    <dxf>
      <numFmt numFmtId="179" formatCode="General"/>
      <border>
        <right style="thin"/>
      </border>
    </dxf>
    <dxf>
      <font>
        <b/>
        <i val="0"/>
        <u val="none"/>
        <strike val="0"/>
        <sz val="11"/>
        <name val="Calibri"/>
        <family val="2"/>
        <color theme="1"/>
        <condense val="0"/>
        <extend val="0"/>
      </font>
      <numFmt numFmtId="180" formatCode="0"/>
      <alignment horizontal="center" vertical="bottom" textRotation="0" wrapText="1" shrinkToFit="1" readingOrder="0"/>
      <border>
        <left style="thin"/>
        <right style="thin"/>
        <top style="thin"/>
        <bottom style="thin"/>
        <vertical/>
        <horizontal/>
      </border>
    </dxf>
    <dxf>
      <numFmt numFmtId="180" formatCode="0"/>
      <border>
        <right style="thin"/>
      </border>
    </dxf>
    <dxf>
      <fill>
        <patternFill patternType="solid">
          <bgColor theme="0"/>
        </patternFill>
      </fill>
    </dxf>
    <dxf>
      <numFmt numFmtId="7" formatCode="&quot;$&quot;#,##0.00_);\(&quot;$&quot;#,##0.00\)"/>
    </dxf>
    <dxf>
      <numFmt numFmtId="7" formatCode="&quot;$&quot;#,##0.00_);\(&quot;$&quot;#,##0.00\)"/>
    </dxf>
    <dxf>
      <numFmt numFmtId="7" formatCode="&quot;$&quot;#,##0.00_);\(&quot;$&quot;#,##0.00\)"/>
      <fill>
        <patternFill patternType="solid">
          <bgColor theme="0"/>
        </patternFill>
      </fill>
    </dxf>
    <dxf>
      <numFmt numFmtId="7" formatCode="&quot;$&quot;#,##0.00_);\(&quot;$&quot;#,##0.00\)"/>
      <border>
        <left style="thin"/>
      </border>
    </dxf>
    <dxf>
      <font>
        <b/>
        <i val="0"/>
        <u val="none"/>
        <strike val="0"/>
        <sz val="11"/>
        <name val="Calibri"/>
        <family val="2"/>
        <color theme="1"/>
        <condense val="0"/>
        <extend val="0"/>
      </font>
      <numFmt numFmtId="165" formatCode="&quot;$&quot;#,##0.00"/>
      <alignment horizontal="center" vertical="bottom" textRotation="0" wrapText="1" shrinkToFit="1" readingOrder="0"/>
      <border>
        <left style="thin"/>
        <right style="thin"/>
        <top style="thin"/>
        <bottom style="thin"/>
        <vertical/>
        <horizontal/>
      </border>
    </dxf>
    <dxf>
      <font>
        <b/>
        <i val="0"/>
        <u val="none"/>
        <strike val="0"/>
        <sz val="11"/>
        <name val="Calibri"/>
        <family val="2"/>
        <color theme="1"/>
        <condense val="0"/>
        <extend val="0"/>
      </font>
      <numFmt numFmtId="165" formatCode="&quot;$&quot;#,##0.00"/>
      <alignment horizontal="center" vertical="bottom" textRotation="0" wrapText="1" shrinkToFit="1" readingOrder="0"/>
      <border>
        <left style="thin"/>
        <right style="thin"/>
        <top style="thin"/>
        <bottom style="thin"/>
      </border>
    </dxf>
    <dxf>
      <numFmt numFmtId="165" formatCode="&quot;$&quot;#,##0.00"/>
      <border>
        <right style="thin"/>
      </border>
    </dxf>
    <dxf>
      <numFmt numFmtId="7" formatCode="&quot;$&quot;#,##0.00_);\(&quot;$&quot;#,##0.00\)"/>
    </dxf>
    <dxf>
      <numFmt numFmtId="7" formatCode="&quot;$&quot;#,##0.00_);\(&quot;$&quot;#,##0.00\)"/>
    </dxf>
    <dxf>
      <font>
        <b/>
        <i val="0"/>
        <u val="none"/>
        <strike val="0"/>
        <sz val="11"/>
        <name val="Calibri"/>
        <family val="2"/>
        <color theme="1"/>
        <condense val="0"/>
        <extend val="0"/>
      </font>
      <numFmt numFmtId="181" formatCode="#,##0"/>
      <alignment horizontal="center" vertical="bottom" textRotation="0" wrapText="1" shrinkToFit="1" readingOrder="0"/>
      <border>
        <left style="thin"/>
        <right style="thin"/>
        <top style="thin"/>
        <bottom style="thin"/>
        <vertical/>
        <horizontal/>
      </border>
    </dxf>
    <dxf>
      <font>
        <b/>
        <i val="0"/>
        <u val="none"/>
        <strike val="0"/>
        <sz val="11"/>
        <name val="Calibri"/>
        <family val="2"/>
        <color theme="1"/>
        <condense val="0"/>
        <extend val="0"/>
      </font>
      <numFmt numFmtId="181" formatCode="#,##0"/>
      <alignment horizontal="center" vertical="bottom" textRotation="0" wrapText="1" shrinkToFit="1" readingOrder="0"/>
      <border>
        <left style="thin"/>
        <right style="thin"/>
        <top style="thin"/>
        <bottom style="thin"/>
        <vertical/>
        <horizontal/>
      </border>
    </dxf>
    <dxf>
      <numFmt numFmtId="43" formatCode="_(* #,##0.00_);_(* \(#,##0.00\);_(* &quot;-&quot;??_);_(@_)"/>
    </dxf>
    <dxf>
      <font>
        <b val="0"/>
        <i val="0"/>
        <u val="none"/>
        <strike val="0"/>
        <sz val="11"/>
        <name val="Calibri"/>
        <family val="2"/>
        <color theme="1"/>
        <condense val="0"/>
        <extend val="0"/>
      </font>
      <numFmt numFmtId="170" formatCode="_(* #,##0_);_(* \(#,##0\);_(* &quot;-&quot;??_);_(@_)"/>
    </dxf>
    <dxf>
      <font>
        <b/>
        <i val="0"/>
        <u val="none"/>
        <strike val="0"/>
        <sz val="11"/>
        <name val="Calibri"/>
        <family val="2"/>
        <color theme="1"/>
        <condense val="0"/>
        <extend val="0"/>
      </font>
      <numFmt numFmtId="181" formatCode="#,##0"/>
      <alignment horizontal="center" vertical="bottom" textRotation="0" wrapText="1" shrinkToFit="1" readingOrder="0"/>
      <border>
        <left style="thin"/>
        <right style="thin"/>
        <top style="thin"/>
        <bottom style="thin"/>
        <vertical/>
        <horizontal/>
      </border>
    </dxf>
    <dxf>
      <numFmt numFmtId="181" formatCode="#,##0"/>
    </dxf>
    <dxf>
      <numFmt numFmtId="181" formatCode="#,##0"/>
    </dxf>
    <dxf>
      <font>
        <b val="0"/>
        <i val="0"/>
        <u val="none"/>
        <strike val="0"/>
        <sz val="11"/>
        <name val="Calibri"/>
        <family val="2"/>
        <color theme="1"/>
        <condense val="0"/>
        <extend val="0"/>
      </font>
      <numFmt numFmtId="170" formatCode="_(* #,##0_);_(* \(#,##0\);_(* &quot;-&quot;??_);_(@_)"/>
    </dxf>
    <dxf>
      <numFmt numFmtId="168" formatCode="0.0"/>
    </dxf>
    <dxf>
      <numFmt numFmtId="168" formatCode="0.0"/>
    </dxf>
    <dxf>
      <numFmt numFmtId="182" formatCode="0.00"/>
    </dxf>
    <dxf>
      <numFmt numFmtId="171" formatCode="[$-409]mmm\ yyyy;@"/>
      <fill>
        <patternFill patternType="solid">
          <bgColor theme="9" tint="0.7999799847602844"/>
        </patternFill>
      </fill>
      <border>
        <left/>
        <right style="medium"/>
        <top/>
        <bottom/>
      </border>
    </dxf>
    <dxf>
      <alignment horizontal="center" vertical="bottom" textRotation="0" wrapText="1" shrinkToFit="1" readingOrder="0"/>
    </dxf>
    <dxf>
      <font>
        <b val="0"/>
        <i val="0"/>
        <u val="none"/>
        <strike val="0"/>
        <sz val="11"/>
        <name val="Calibri"/>
        <family val="2"/>
        <color theme="1"/>
        <condense val="0"/>
        <extend val="0"/>
      </font>
      <fill>
        <patternFill patternType="none"/>
      </fill>
      <alignment horizontal="center" vertical="bottom" textRotation="0" wrapText="1" shrinkToFit="1" readingOrder="0"/>
    </dxf>
    <dxf>
      <font>
        <b val="0"/>
      </font>
      <numFmt numFmtId="180" formatCode="0"/>
      <fill>
        <patternFill patternType="none">
          <bgColor rgb="FFFFFFFF"/>
        </patternFill>
      </fill>
      <alignment horizontal="center" vertical="center" textRotation="0" wrapText="1" shrinkToFit="1" readingOrder="0"/>
      <border>
        <left style="thin"/>
        <right style="thick"/>
        <top style="thin"/>
        <bottom style="thin"/>
      </border>
      <protection hidden="1" locked="0"/>
    </dxf>
    <dxf>
      <font>
        <b/>
        <i val="0"/>
        <sz val="12"/>
        <name val="Arial"/>
      </font>
      <numFmt numFmtId="165" formatCode="&quot;$&quot;#,##0.00"/>
      <fill>
        <patternFill patternType="solid">
          <bgColor rgb="FFFFFFCC"/>
        </patternFill>
      </fill>
      <alignment horizontal="center" vertical="center" textRotation="0" wrapText="1" shrinkToFit="1" readingOrder="0"/>
      <border>
        <left style="thin"/>
        <right style="thin"/>
        <top style="thin"/>
        <bottom style="thin"/>
      </border>
      <protection hidden="1" locked="0"/>
    </dxf>
    <dxf>
      <font>
        <b val="0"/>
      </font>
      <numFmt numFmtId="180" formatCode="0"/>
      <border>
        <left style="thin"/>
        <right style="thin"/>
        <top style="thin"/>
        <bottom style="thin"/>
      </border>
      <protection hidden="1" locked="0"/>
    </dxf>
    <dxf>
      <font>
        <b/>
        <i val="0"/>
        <sz val="12"/>
        <name val="Arial"/>
      </font>
      <numFmt numFmtId="164" formatCode="[$-409]mmmm\-yy;@"/>
      <fill>
        <patternFill patternType="solid">
          <bgColor theme="0"/>
        </patternFill>
      </fill>
      <alignment horizontal="left" vertical="center" textRotation="0" wrapText="1" shrinkToFit="1" readingOrder="0"/>
      <border>
        <left style="thick"/>
        <right style="thin"/>
        <top style="thin"/>
        <bottom style="thin"/>
      </border>
      <protection hidden="1" locked="0"/>
    </dxf>
    <dxf>
      <font>
        <b val="0"/>
      </font>
      <protection hidden="1" locked="0"/>
    </dxf>
    <dxf>
      <border>
        <bottom style="medium"/>
      </border>
    </dxf>
    <dxf>
      <font>
        <b val="0"/>
        <i val="0"/>
        <u val="none"/>
        <strike val="0"/>
        <sz val="12"/>
        <name val="Arial"/>
        <color auto="1"/>
        <condense val="0"/>
        <extend val="0"/>
      </font>
      <fill>
        <patternFill patternType="solid">
          <bgColor theme="0"/>
        </patternFill>
      </fill>
      <alignment horizontal="center" vertical="center" textRotation="0" wrapText="1" shrinkToFit="1" readingOrder="0"/>
      <protection hidden="1" locked="0"/>
    </dxf>
    <dxf>
      <font>
        <b/>
      </font>
      <alignment horizontal="center" vertical="center" textRotation="0" wrapText="1" shrinkToFit="1" readingOrder="0"/>
      <protection hidden="1" locked="0"/>
    </dxf>
    <dxf>
      <font>
        <b/>
      </font>
      <numFmt numFmtId="183" formatCode="#,##0_);\(#,##0\)"/>
      <alignment horizontal="center" vertical="center" textRotation="0" wrapText="1" shrinkToFit="1" readingOrder="0"/>
      <protection hidden="1" locked="0"/>
    </dxf>
    <dxf>
      <font>
        <b/>
        <i val="0"/>
        <u val="none"/>
        <strike val="0"/>
        <sz val="12"/>
        <name val="Arial"/>
        <color theme="1"/>
        <condense val="0"/>
        <extend val="0"/>
      </font>
      <numFmt numFmtId="181" formatCode="#,##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1" formatCode="#,##0"/>
      <fill>
        <patternFill patternType="solid">
          <bgColor rgb="FFFFFFCC"/>
        </patternFill>
      </fill>
      <alignment horizontal="center" vertical="center" textRotation="0" wrapText="1" shrinkToFit="1" readingOrder="0"/>
      <border>
        <left/>
        <right/>
        <top style="thin"/>
        <bottom style="thin"/>
      </border>
      <protection hidden="1" locked="0"/>
    </dxf>
    <dxf>
      <font>
        <b/>
      </font>
      <alignment horizontal="center" vertical="center" textRotation="0" wrapText="1" shrinkToFit="1" readingOrder="0"/>
      <protection hidden="1" locked="0"/>
    </dxf>
    <dxf>
      <font>
        <b/>
      </font>
      <alignment horizontal="center" vertical="center" textRotation="0" wrapText="1" shrinkToFit="1" readingOrder="0"/>
      <protection hidden="1" locked="0"/>
    </dxf>
    <dxf>
      <font>
        <b/>
      </font>
      <numFmt numFmtId="183" formatCode="#,##0_);\(#,##0\)"/>
      <alignment horizontal="center" vertical="center" textRotation="0" wrapText="1" shrinkToFit="1" readingOrder="0"/>
      <protection hidden="1" locked="0"/>
    </dxf>
    <dxf>
      <font>
        <b/>
        <i val="0"/>
        <u val="none"/>
        <strike val="0"/>
        <sz val="12"/>
        <name val="Arial"/>
        <color theme="1"/>
        <condense val="0"/>
        <extend val="0"/>
      </font>
      <numFmt numFmtId="181" formatCode="#,##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1" formatCode="#,##0"/>
      <fill>
        <patternFill patternType="solid">
          <bgColor rgb="FFFFFFCC"/>
        </patternFill>
      </fill>
      <alignment horizontal="center" vertical="center" textRotation="0" wrapText="1" shrinkToFit="1" readingOrder="0"/>
      <border>
        <left/>
        <right/>
        <top style="thin"/>
        <bottom style="thin"/>
      </border>
      <protection hidden="1" locked="0"/>
    </dxf>
    <dxf>
      <font>
        <b/>
      </font>
      <alignment horizontal="center" vertical="center" textRotation="0" wrapText="1" shrinkToFit="1" readingOrder="0"/>
      <protection hidden="1" locked="0"/>
    </dxf>
    <dxf>
      <font>
        <b/>
      </font>
      <alignment horizontal="center" vertical="center" textRotation="0" wrapText="1" shrinkToFit="1" readingOrder="0"/>
      <protection hidden="1" locked="0"/>
    </dxf>
    <dxf>
      <font>
        <b/>
        <i val="0"/>
        <u val="none"/>
        <strike val="0"/>
        <sz val="12"/>
        <name val="Arial"/>
        <color theme="1"/>
        <condense val="0"/>
        <extend val="0"/>
      </font>
      <numFmt numFmtId="183" formatCode="#,##0_);\(#,##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3" formatCode="#,##0_);\(#,##0\)"/>
      <fill>
        <patternFill patternType="solid">
          <bgColor rgb="FFFFFFCC"/>
        </patternFill>
      </fill>
      <alignment horizontal="center" vertical="center" textRotation="0" wrapText="1" shrinkToFit="1" readingOrder="0"/>
      <border>
        <left/>
        <right/>
        <top style="thin"/>
        <bottom style="thin"/>
      </border>
      <protection hidden="1" locked="0"/>
    </dxf>
    <dxf>
      <font>
        <b/>
      </font>
      <numFmt numFmtId="7" formatCode="&quot;$&quot;#,##0.00_);\(&quot;$&quot;#,##0.00\)"/>
      <alignment horizontal="center" vertical="center" textRotation="0" wrapText="1" shrinkToFit="1" readingOrder="0"/>
      <protection hidden="1" locked="0"/>
    </dxf>
    <dxf>
      <font>
        <b/>
      </font>
      <alignment horizontal="center" vertical="center" textRotation="0" wrapText="1" shrinkToFit="1" readingOrder="0"/>
      <protection hidden="1" locked="0"/>
    </dxf>
    <dxf>
      <font>
        <b/>
      </font>
      <alignment horizontal="center" vertical="center" textRotation="0" wrapText="1" shrinkToFit="1" readingOrder="0"/>
      <protection hidden="1" locked="0"/>
    </dxf>
    <dxf>
      <font>
        <b/>
        <i val="0"/>
        <u val="none"/>
        <strike val="0"/>
        <sz val="12"/>
        <name val="Arial"/>
        <color theme="1"/>
        <condense val="0"/>
        <extend val="0"/>
      </font>
      <numFmt numFmtId="183" formatCode="#,##0_);\(#,##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3" formatCode="#,##0_);\(#,##0\)"/>
      <fill>
        <patternFill patternType="solid">
          <bgColor rgb="FFFFFFCC"/>
        </patternFill>
      </fill>
      <alignment horizontal="center" vertical="center" textRotation="0" wrapText="1" shrinkToFit="1" readingOrder="0"/>
      <border>
        <left/>
        <right/>
        <top style="thin"/>
        <bottom style="thin"/>
      </border>
      <protection hidden="1" locked="0"/>
    </dxf>
    <dxf>
      <font>
        <b/>
      </font>
      <numFmt numFmtId="7" formatCode="&quot;$&quot;#,##0.00_);\(&quot;$&quot;#,##0.00\)"/>
      <alignment horizontal="center" vertical="center" textRotation="0" wrapText="1" shrinkToFit="1" readingOrder="0"/>
      <protection hidden="1" locked="0"/>
    </dxf>
    <dxf>
      <font>
        <b/>
      </font>
      <alignment horizontal="center" vertical="center" textRotation="0" wrapText="1" shrinkToFit="1" readingOrder="0"/>
      <protection hidden="1" locked="0"/>
    </dxf>
    <dxf>
      <font>
        <b/>
        <i val="0"/>
        <u val="none"/>
        <strike val="0"/>
        <sz val="12"/>
        <name val="Arial"/>
        <color theme="1"/>
        <condense val="0"/>
        <extend val="0"/>
      </font>
      <numFmt numFmtId="7" formatCode="&quot;$&quot;#,##0.00_);\(&quot;$&quot;#,##0.0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1" formatCode="#,##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1" formatCode="#,##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65" formatCode="&quot;$&quot;#,##0.0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1" formatCode="#,##0"/>
      <fill>
        <patternFill patternType="solid">
          <bgColor rgb="FFFFFFCC"/>
        </patternFill>
      </fill>
      <alignment horizontal="center" vertical="center" textRotation="0" wrapText="1" shrinkToFit="1" readingOrder="0"/>
      <border>
        <left style="thin"/>
        <right/>
        <top style="thin"/>
        <bottom style="thin"/>
      </border>
      <protection hidden="1" locked="0"/>
    </dxf>
    <dxf>
      <font>
        <b val="0"/>
        <i val="0"/>
        <u val="none"/>
        <strike val="0"/>
        <sz val="14"/>
        <name val="Arial"/>
        <color theme="1"/>
        <condense val="0"/>
        <extend val="0"/>
      </font>
      <numFmt numFmtId="164" formatCode="[$-409]mmmm\-yy;@"/>
      <fill>
        <patternFill patternType="solid">
          <bgColor theme="0"/>
        </patternFill>
      </fill>
      <alignment horizontal="left" vertical="center" textRotation="0" wrapText="1" shrinkToFit="1" readingOrder="0"/>
      <border>
        <left style="thick"/>
        <right/>
        <top style="thin"/>
        <bottom style="thin"/>
      </border>
      <protection hidden="1" locked="0"/>
    </dxf>
    <dxf>
      <protection hidden="1" locked="0"/>
    </dxf>
    <dxf>
      <font>
        <i val="0"/>
        <u val="none"/>
        <strike val="0"/>
        <name val="Arial"/>
        <color auto="1"/>
      </font>
      <fill>
        <patternFill patternType="solid">
          <bgColor theme="0"/>
        </patternFill>
      </fill>
      <protection hidden="1" locked="0"/>
    </dxf>
    <dxf>
      <font>
        <color rgb="FFFFFFCC"/>
      </font>
      <fill>
        <patternFill>
          <bgColor rgb="FFFFFFCC"/>
        </patternFill>
      </fill>
      <border/>
    </dxf>
    <dxf>
      <font>
        <color rgb="FFFFFFCC"/>
      </font>
      <fill>
        <patternFill>
          <bgColor rgb="FFFFFFCC"/>
        </patternFill>
      </fill>
      <border/>
    </dxf>
    <dxf>
      <font>
        <color rgb="FFFFFFCC"/>
      </font>
      <fill>
        <patternFill>
          <bgColor rgb="FFFFFFCC"/>
        </patternFill>
      </fill>
      <border/>
    </dxf>
    <dxf>
      <font>
        <color rgb="FFFFFFCC"/>
      </font>
      <fill>
        <patternFill>
          <bgColor rgb="FFFFFFCC"/>
        </patternFill>
      </fill>
      <border/>
    </dxf>
    <dxf>
      <font>
        <color rgb="FFFFFFCC"/>
      </font>
      <fill>
        <patternFill>
          <bgColor rgb="FFFFFFCC"/>
        </patternFill>
      </fill>
      <border/>
    </dxf>
    <dxf>
      <font>
        <color rgb="FFFFFFCC"/>
      </font>
      <fill>
        <patternFill>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5"/>
          <c:y val="0.171"/>
          <c:w val="0.769"/>
          <c:h val="0.661"/>
        </c:manualLayout>
      </c:layout>
      <c:barChart>
        <c:barDir val="col"/>
        <c:grouping val="clustered"/>
        <c:varyColors val="0"/>
        <c:ser>
          <c:idx val="0"/>
          <c:order val="0"/>
          <c:tx>
            <c:strRef>
              <c:f>'Background Calculations'!$D$173</c:f>
              <c:strCache>
                <c:ptCount val="1"/>
                <c:pt idx="0">
                  <c:v>kWh/MG</c:v>
                </c:pt>
              </c:strCache>
            </c:strRef>
          </c:tx>
          <c:spPr>
            <a:solidFill>
              <a:schemeClr val="accent1"/>
            </a:solidFill>
            <a:ln>
              <a:solidFill>
                <a:schemeClr val="accent1"/>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solidFill>
                  <a:schemeClr val="accent1"/>
                </a:solidFill>
              </a:ln>
            </c:spPr>
          </c:dPt>
          <c:dPt>
            <c:idx val="1"/>
            <c:invertIfNegative val="0"/>
            <c:spPr>
              <a:pattFill prst="dkUpDiag">
                <a:fgClr>
                  <a:schemeClr val="accent1"/>
                </a:fgClr>
                <a:bgClr>
                  <a:schemeClr val="bg1"/>
                </a:bgClr>
              </a:pattFill>
              <a:ln>
                <a:solidFill>
                  <a:schemeClr val="accent1"/>
                </a:solidFill>
              </a:ln>
            </c:spPr>
          </c:dPt>
          <c:dPt>
            <c:idx val="2"/>
            <c:invertIfNegative val="0"/>
            <c:spPr>
              <a:pattFill prst="dkUpDiag">
                <a:fgClr>
                  <a:schemeClr val="accent1"/>
                </a:fgClr>
                <a:bgClr>
                  <a:schemeClr val="bg1"/>
                </a:bgClr>
              </a:pattFill>
              <a:ln>
                <a:solidFill>
                  <a:schemeClr val="accent1"/>
                </a:solidFill>
              </a:ln>
            </c:spPr>
          </c:dPt>
          <c:dPt>
            <c:idx val="3"/>
            <c:invertIfNegative val="0"/>
            <c:spPr>
              <a:solidFill>
                <a:schemeClr val="accent1"/>
              </a:solidFill>
              <a:ln>
                <a:solidFill>
                  <a:schemeClr val="accent1"/>
                </a:solidFill>
              </a:ln>
            </c:spPr>
          </c:dPt>
          <c:dPt>
            <c:idx val="4"/>
            <c:invertIfNegative val="0"/>
            <c:spPr>
              <a:solidFill>
                <a:schemeClr val="accent1"/>
              </a:solidFill>
              <a:ln>
                <a:solidFill>
                  <a:schemeClr val="accent1"/>
                </a:solidFill>
              </a:ln>
            </c:spPr>
          </c:dPt>
          <c:dPt>
            <c:idx val="5"/>
            <c:invertIfNegative val="0"/>
            <c:spPr>
              <a:solidFill>
                <a:schemeClr val="accent1"/>
              </a:solidFill>
              <a:ln>
                <a:solidFill>
                  <a:schemeClr val="accent1"/>
                </a:solidFill>
              </a:ln>
            </c:spPr>
          </c:dPt>
          <c:dPt>
            <c:idx val="6"/>
            <c:invertIfNegative val="0"/>
            <c:spPr>
              <a:solidFill>
                <a:schemeClr val="accent1"/>
              </a:solidFill>
              <a:ln>
                <a:solidFill>
                  <a:schemeClr val="accent1"/>
                </a:solidFill>
              </a:ln>
            </c:spPr>
          </c:dPt>
          <c:dPt>
            <c:idx val="7"/>
            <c:invertIfNegative val="0"/>
            <c:spPr>
              <a:solidFill>
                <a:schemeClr val="accent1"/>
              </a:solidFill>
              <a:ln>
                <a:solidFill>
                  <a:schemeClr val="accent1"/>
                </a:solidFill>
              </a:ln>
            </c:spPr>
          </c:dPt>
          <c:dLbls>
            <c:numFmt formatCode="General" sourceLinked="1"/>
            <c:showLegendKey val="0"/>
            <c:showVal val="0"/>
            <c:showBubbleSize val="0"/>
            <c:showCatName val="0"/>
            <c:showSerName val="0"/>
            <c:showPercent val="0"/>
          </c:dLbls>
          <c:cat>
            <c:strRef>
              <c:f>'Background Calculations'!$C$174:$C$181</c:f>
              <c:strCache/>
            </c:strRef>
          </c:cat>
          <c:val>
            <c:numRef>
              <c:f>'Background Calculations'!$D$174:$D$181</c:f>
              <c:numCache/>
            </c:numRef>
          </c:val>
        </c:ser>
        <c:ser>
          <c:idx val="1"/>
          <c:order val="1"/>
          <c:tx>
            <c:strRef>
              <c:f>'Background Calculations'!$E$173</c:f>
              <c:strCache>
                <c:ptCount val="1"/>
                <c:pt idx="0">
                  <c:v>overlap 1</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'Background Calculations'!$C$174:$C$181</c:f>
              <c:strCache/>
            </c:strRef>
          </c:cat>
          <c:val>
            <c:numRef>
              <c:f>'Background Calculations'!$E$174:$E$181</c:f>
              <c:numCache/>
            </c:numRef>
          </c:val>
        </c:ser>
        <c:ser>
          <c:idx val="3"/>
          <c:order val="2"/>
          <c:tx>
            <c:strRef>
              <c:f>'Background Calculations'!$G$173</c:f>
              <c:strCache>
                <c:ptCount val="1"/>
                <c:pt idx="0">
                  <c:v>overlap 2</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'Background Calculations'!$C$174:$C$181</c:f>
              <c:strCache/>
            </c:strRef>
          </c:cat>
          <c:val>
            <c:numRef>
              <c:f>'Background Calculations'!$G$174:$G$181</c:f>
              <c:numCache/>
            </c:numRef>
          </c:val>
        </c:ser>
        <c:gapWidth val="0"/>
        <c:axId val="38538875"/>
        <c:axId val="11305556"/>
      </c:barChart>
      <c:barChart>
        <c:barDir val="col"/>
        <c:grouping val="clustered"/>
        <c:varyColors val="0"/>
        <c:ser>
          <c:idx val="2"/>
          <c:order val="3"/>
          <c:tx>
            <c:strRef>
              <c:f>'Background Calculations'!$F$173</c:f>
              <c:strCache>
                <c:ptCount val="1"/>
                <c:pt idx="0">
                  <c:v>$/MG</c:v>
                </c:pt>
              </c:strCache>
            </c:strRef>
          </c:tx>
          <c:spPr>
            <a:solidFill>
              <a:schemeClr val="accent6"/>
            </a:solidFill>
            <a:ln>
              <a:solidFill>
                <a:schemeClr val="accent6"/>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6"/>
              </a:solidFill>
              <a:ln>
                <a:solidFill>
                  <a:schemeClr val="accent6"/>
                </a:solidFill>
              </a:ln>
            </c:spPr>
          </c:dPt>
          <c:dPt>
            <c:idx val="1"/>
            <c:invertIfNegative val="0"/>
            <c:spPr>
              <a:pattFill prst="dkUpDiag">
                <a:fgClr>
                  <a:schemeClr val="accent6"/>
                </a:fgClr>
                <a:bgClr>
                  <a:schemeClr val="bg1"/>
                </a:bgClr>
              </a:pattFill>
              <a:ln>
                <a:solidFill>
                  <a:schemeClr val="accent6"/>
                </a:solidFill>
              </a:ln>
            </c:spPr>
          </c:dPt>
          <c:dPt>
            <c:idx val="2"/>
            <c:invertIfNegative val="0"/>
            <c:spPr>
              <a:pattFill prst="dkUpDiag">
                <a:fgClr>
                  <a:schemeClr val="accent6"/>
                </a:fgClr>
                <a:bgClr>
                  <a:schemeClr val="bg1"/>
                </a:bgClr>
              </a:pattFill>
              <a:ln>
                <a:solidFill>
                  <a:schemeClr val="accent6"/>
                </a:solidFill>
              </a:ln>
            </c:spPr>
          </c:dPt>
          <c:dPt>
            <c:idx val="3"/>
            <c:invertIfNegative val="0"/>
            <c:spPr>
              <a:solidFill>
                <a:schemeClr val="accent6"/>
              </a:solidFill>
              <a:ln>
                <a:noFill/>
              </a:ln>
            </c:spPr>
          </c:dPt>
          <c:dPt>
            <c:idx val="4"/>
            <c:invertIfNegative val="0"/>
            <c:spPr>
              <a:solidFill>
                <a:schemeClr val="accent6"/>
              </a:solidFill>
              <a:ln>
                <a:solidFill>
                  <a:schemeClr val="accent6"/>
                </a:solidFill>
              </a:ln>
            </c:spPr>
          </c:dPt>
          <c:dPt>
            <c:idx val="5"/>
            <c:invertIfNegative val="0"/>
            <c:spPr>
              <a:solidFill>
                <a:schemeClr val="accent6"/>
              </a:solidFill>
              <a:ln>
                <a:solidFill>
                  <a:schemeClr val="accent6"/>
                </a:solidFill>
              </a:ln>
            </c:spPr>
          </c:dPt>
          <c:dPt>
            <c:idx val="6"/>
            <c:invertIfNegative val="0"/>
            <c:spPr>
              <a:solidFill>
                <a:schemeClr val="accent6"/>
              </a:solidFill>
              <a:ln>
                <a:solidFill>
                  <a:schemeClr val="accent6"/>
                </a:solidFill>
              </a:ln>
            </c:spPr>
          </c:dPt>
          <c:dPt>
            <c:idx val="7"/>
            <c:invertIfNegative val="0"/>
            <c:spPr>
              <a:solidFill>
                <a:schemeClr val="accent6"/>
              </a:solidFill>
              <a:ln>
                <a:solidFill>
                  <a:schemeClr val="accent6"/>
                </a:solidFill>
              </a:ln>
            </c:spPr>
          </c:dPt>
          <c:dLbls>
            <c:numFmt formatCode="General" sourceLinked="1"/>
            <c:showLegendKey val="0"/>
            <c:showVal val="0"/>
            <c:showBubbleSize val="0"/>
            <c:showCatName val="0"/>
            <c:showSerName val="0"/>
            <c:showPercent val="0"/>
          </c:dLbls>
          <c:cat>
            <c:strRef>
              <c:f>'Background Calculations'!$C$174:$C$181</c:f>
              <c:strCache/>
            </c:strRef>
          </c:cat>
          <c:val>
            <c:numRef>
              <c:f>'Background Calculations'!$F$174:$F$181</c:f>
              <c:numCache/>
            </c:numRef>
          </c:val>
        </c:ser>
        <c:gapWidth val="200"/>
        <c:axId val="34641141"/>
        <c:axId val="43334814"/>
      </c:barChart>
      <c:catAx>
        <c:axId val="3853887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400" b="0" i="0" u="none" baseline="0">
                <a:solidFill>
                  <a:schemeClr val="tx1">
                    <a:lumMod val="65000"/>
                    <a:lumOff val="35000"/>
                  </a:schemeClr>
                </a:solidFill>
                <a:latin typeface="+mn-lt"/>
                <a:ea typeface="+mn-cs"/>
                <a:cs typeface="+mn-cs"/>
              </a:defRPr>
            </a:pPr>
          </a:p>
        </c:txPr>
        <c:crossAx val="11305556"/>
        <c:crosses val="autoZero"/>
        <c:auto val="1"/>
        <c:lblOffset val="100"/>
        <c:noMultiLvlLbl val="0"/>
      </c:catAx>
      <c:valAx>
        <c:axId val="11305556"/>
        <c:scaling>
          <c:orientation val="minMax"/>
        </c:scaling>
        <c:axPos val="l"/>
        <c:title>
          <c:tx>
            <c:rich>
              <a:bodyPr vert="horz" rot="-5400000" anchor="ctr"/>
              <a:lstStyle/>
              <a:p>
                <a:pPr algn="ctr">
                  <a:defRPr/>
                </a:pPr>
                <a:r>
                  <a:rPr lang="en-US" cap="none" sz="1800" b="0" i="0" u="none" baseline="0">
                    <a:solidFill>
                      <a:schemeClr val="tx1">
                        <a:lumMod val="65000"/>
                        <a:lumOff val="35000"/>
                      </a:schemeClr>
                    </a:solidFill>
                    <a:latin typeface="+mn-lt"/>
                    <a:ea typeface="Calibri"/>
                    <a:cs typeface="Calibri"/>
                  </a:rPr>
                  <a:t>kWh/MG</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38538875"/>
        <c:crosses val="autoZero"/>
        <c:crossBetween val="between"/>
        <c:dispUnits/>
      </c:valAx>
      <c:catAx>
        <c:axId val="34641141"/>
        <c:scaling>
          <c:orientation val="minMax"/>
        </c:scaling>
        <c:axPos val="b"/>
        <c:delete val="1"/>
        <c:majorTickMark val="out"/>
        <c:minorTickMark val="none"/>
        <c:tickLblPos val="nextTo"/>
        <c:crossAx val="43334814"/>
        <c:crosses val="autoZero"/>
        <c:auto val="1"/>
        <c:lblOffset val="100"/>
        <c:noMultiLvlLbl val="0"/>
      </c:catAx>
      <c:valAx>
        <c:axId val="43334814"/>
        <c:scaling>
          <c:orientation val="minMax"/>
          <c:min val="0"/>
        </c:scaling>
        <c:axPos val="l"/>
        <c:title>
          <c:tx>
            <c:rich>
              <a:bodyPr vert="horz" rot="-5400000" anchor="ctr"/>
              <a:lstStyle/>
              <a:p>
                <a:pPr algn="ctr">
                  <a:defRPr/>
                </a:pPr>
                <a:r>
                  <a:rPr lang="en-US" cap="none" sz="1800" b="0" i="0" u="none" baseline="0">
                    <a:solidFill>
                      <a:schemeClr val="tx1">
                        <a:lumMod val="65000"/>
                        <a:lumOff val="35000"/>
                      </a:schemeClr>
                    </a:solidFill>
                    <a:latin typeface="+mn-lt"/>
                    <a:ea typeface="Calibri"/>
                    <a:cs typeface="Calibri"/>
                  </a:rPr>
                  <a:t>$/MG</a:t>
                </a:r>
              </a:p>
            </c:rich>
          </c:tx>
          <c:layout/>
          <c:overlay val="0"/>
          <c:spPr>
            <a:noFill/>
            <a:ln>
              <a:noFill/>
            </a:ln>
          </c:spPr>
        </c:title>
        <c:delete val="0"/>
        <c:numFmt formatCode="&quot;$&quot;#,##0" sourceLinked="0"/>
        <c:majorTickMark val="out"/>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34641141"/>
        <c:crosses val="max"/>
        <c:crossBetween val="between"/>
        <c:dispUnits/>
      </c:valAx>
      <c:spPr>
        <a:noFill/>
        <a:ln>
          <a:noFill/>
        </a:ln>
      </c:spPr>
    </c:plotArea>
    <c:legend>
      <c:legendPos val="b"/>
      <c:legendEntry>
        <c:idx val="1"/>
        <c:delete val="1"/>
      </c:legendEntry>
      <c:legendEntry>
        <c:idx val="2"/>
        <c:delete val="1"/>
      </c:legendEntry>
      <c:layout/>
      <c:overlay val="0"/>
      <c:spPr>
        <a:noFill/>
        <a:ln>
          <a:noFill/>
        </a:ln>
      </c:spPr>
      <c:txPr>
        <a:bodyPr vert="horz" rot="0"/>
        <a:lstStyle/>
        <a:p>
          <a:pPr>
            <a:defRPr lang="en-US" cap="none" sz="18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sz="1400" u="none" baseline="0">
          <a:latin typeface="Calibri"/>
          <a:ea typeface="Calibri"/>
          <a:cs typeface="Calibri"/>
        </a:defRPr>
      </a:pPr>
    </a:p>
  </c:txPr>
  <c:userShapes r:id="rId1"/>
  <c:lang xmlns:c="http://schemas.openxmlformats.org/drawingml/2006/chart" val="en-U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975"/>
          <c:y val="0.17925"/>
          <c:w val="0.7795"/>
          <c:h val="0.65275"/>
        </c:manualLayout>
      </c:layout>
      <c:barChart>
        <c:barDir val="col"/>
        <c:grouping val="clustered"/>
        <c:varyColors val="0"/>
        <c:ser>
          <c:idx val="0"/>
          <c:order val="0"/>
          <c:tx>
            <c:v>kWh/lb BOD removed</c:v>
          </c:tx>
          <c:spPr>
            <a:solidFill>
              <a:schemeClr val="accent1"/>
            </a:solidFill>
            <a:ln>
              <a:solidFill>
                <a:schemeClr val="accent1"/>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solidFill>
                  <a:schemeClr val="accent1"/>
                </a:solidFill>
              </a:ln>
            </c:spPr>
          </c:dPt>
          <c:dPt>
            <c:idx val="1"/>
            <c:invertIfNegative val="0"/>
            <c:spPr>
              <a:pattFill prst="dkUpDiag">
                <a:fgClr>
                  <a:schemeClr val="accent1"/>
                </a:fgClr>
                <a:bgClr>
                  <a:schemeClr val="bg1"/>
                </a:bgClr>
              </a:pattFill>
              <a:ln>
                <a:solidFill>
                  <a:schemeClr val="accent1"/>
                </a:solidFill>
              </a:ln>
            </c:spPr>
          </c:dPt>
          <c:dPt>
            <c:idx val="2"/>
            <c:invertIfNegative val="0"/>
            <c:spPr>
              <a:pattFill prst="dkUpDiag">
                <a:fgClr>
                  <a:schemeClr val="accent1"/>
                </a:fgClr>
                <a:bgClr>
                  <a:schemeClr val="bg1"/>
                </a:bgClr>
              </a:pattFill>
              <a:ln>
                <a:solidFill>
                  <a:schemeClr val="accent1"/>
                </a:solidFill>
              </a:ln>
            </c:spPr>
          </c:dPt>
          <c:dPt>
            <c:idx val="3"/>
            <c:invertIfNegative val="0"/>
            <c:spPr>
              <a:solidFill>
                <a:schemeClr val="accent1"/>
              </a:solidFill>
              <a:ln>
                <a:solidFill>
                  <a:schemeClr val="accent1"/>
                </a:solidFill>
              </a:ln>
            </c:spPr>
          </c:dPt>
          <c:dPt>
            <c:idx val="4"/>
            <c:invertIfNegative val="0"/>
            <c:spPr>
              <a:solidFill>
                <a:schemeClr val="accent1"/>
              </a:solidFill>
              <a:ln>
                <a:solidFill>
                  <a:schemeClr val="accent1"/>
                </a:solidFill>
              </a:ln>
            </c:spPr>
          </c:dPt>
          <c:dPt>
            <c:idx val="5"/>
            <c:invertIfNegative val="0"/>
            <c:spPr>
              <a:solidFill>
                <a:schemeClr val="accent1"/>
              </a:solidFill>
              <a:ln>
                <a:solidFill>
                  <a:schemeClr val="accent1"/>
                </a:solidFill>
              </a:ln>
            </c:spPr>
          </c:dPt>
          <c:dPt>
            <c:idx val="6"/>
            <c:invertIfNegative val="0"/>
            <c:spPr>
              <a:solidFill>
                <a:schemeClr val="accent1"/>
              </a:solidFill>
              <a:ln>
                <a:solidFill>
                  <a:schemeClr val="accent1"/>
                </a:solidFill>
              </a:ln>
            </c:spPr>
          </c:dPt>
          <c:dPt>
            <c:idx val="7"/>
            <c:invertIfNegative val="0"/>
            <c:spPr>
              <a:solidFill>
                <a:schemeClr val="accent1"/>
              </a:solidFill>
              <a:ln>
                <a:solidFill>
                  <a:schemeClr val="accent1"/>
                </a:solidFill>
              </a:ln>
            </c:spPr>
          </c:dPt>
          <c:dLbls>
            <c:numFmt formatCode="General" sourceLinked="1"/>
            <c:showLegendKey val="0"/>
            <c:showVal val="0"/>
            <c:showBubbleSize val="0"/>
            <c:showCatName val="0"/>
            <c:showSerName val="0"/>
            <c:showPercent val="0"/>
          </c:dLbls>
          <c:cat>
            <c:strRef>
              <c:f>'Background Calculations'!$C$185:$C$192</c:f>
              <c:strCache/>
            </c:strRef>
          </c:cat>
          <c:val>
            <c:numRef>
              <c:f>'Background Calculations'!$D$185:$D$192</c:f>
              <c:numCache/>
            </c:numRef>
          </c:val>
        </c:ser>
        <c:ser>
          <c:idx val="1"/>
          <c:order val="1"/>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'Background Calculations'!$C$185:$C$192</c:f>
              <c:strCache/>
            </c:strRef>
          </c:cat>
          <c:val>
            <c:numRef>
              <c:f>'Background Calculations'!$E$185:$E$192</c:f>
              <c:numCache/>
            </c:numRef>
          </c:val>
        </c:ser>
        <c:ser>
          <c:idx val="3"/>
          <c:order val="2"/>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'Background Calculations'!$C$185:$C$192</c:f>
              <c:strCache/>
            </c:strRef>
          </c:cat>
          <c:val>
            <c:numRef>
              <c:f>'Background Calculations'!$G$185:$G$192</c:f>
              <c:numCache/>
            </c:numRef>
          </c:val>
        </c:ser>
        <c:gapWidth val="0"/>
        <c:axId val="54469007"/>
        <c:axId val="20459016"/>
      </c:barChart>
      <c:barChart>
        <c:barDir val="col"/>
        <c:grouping val="clustered"/>
        <c:varyColors val="0"/>
        <c:ser>
          <c:idx val="2"/>
          <c:order val="3"/>
          <c:tx>
            <c:v>$/lb BOD removed</c:v>
          </c:tx>
          <c:spPr>
            <a:solidFill>
              <a:schemeClr val="accent6"/>
            </a:solidFill>
            <a:ln>
              <a:solidFill>
                <a:schemeClr val="accent6"/>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6"/>
              </a:solidFill>
              <a:ln>
                <a:solidFill>
                  <a:schemeClr val="accent6"/>
                </a:solidFill>
              </a:ln>
            </c:spPr>
          </c:dPt>
          <c:dPt>
            <c:idx val="1"/>
            <c:invertIfNegative val="0"/>
            <c:spPr>
              <a:pattFill prst="dkUpDiag">
                <a:fgClr>
                  <a:schemeClr val="accent6"/>
                </a:fgClr>
                <a:bgClr>
                  <a:schemeClr val="bg1"/>
                </a:bgClr>
              </a:pattFill>
              <a:ln>
                <a:solidFill>
                  <a:schemeClr val="accent6"/>
                </a:solidFill>
              </a:ln>
            </c:spPr>
          </c:dPt>
          <c:dPt>
            <c:idx val="2"/>
            <c:invertIfNegative val="0"/>
            <c:spPr>
              <a:pattFill prst="dkUpDiag">
                <a:fgClr>
                  <a:schemeClr val="accent6"/>
                </a:fgClr>
                <a:bgClr>
                  <a:schemeClr val="bg1"/>
                </a:bgClr>
              </a:pattFill>
              <a:ln>
                <a:solidFill>
                  <a:schemeClr val="accent6"/>
                </a:solidFill>
              </a:ln>
            </c:spPr>
          </c:dPt>
          <c:dPt>
            <c:idx val="3"/>
            <c:invertIfNegative val="0"/>
            <c:spPr>
              <a:solidFill>
                <a:schemeClr val="accent6"/>
              </a:solidFill>
              <a:ln>
                <a:solidFill>
                  <a:schemeClr val="accent6"/>
                </a:solidFill>
              </a:ln>
            </c:spPr>
          </c:dPt>
          <c:dPt>
            <c:idx val="4"/>
            <c:invertIfNegative val="0"/>
            <c:spPr>
              <a:solidFill>
                <a:schemeClr val="accent6"/>
              </a:solidFill>
              <a:ln>
                <a:solidFill>
                  <a:schemeClr val="accent6"/>
                </a:solidFill>
              </a:ln>
            </c:spPr>
          </c:dPt>
          <c:dPt>
            <c:idx val="5"/>
            <c:invertIfNegative val="0"/>
            <c:spPr>
              <a:solidFill>
                <a:schemeClr val="accent6"/>
              </a:solidFill>
              <a:ln>
                <a:solidFill>
                  <a:schemeClr val="accent6"/>
                </a:solidFill>
              </a:ln>
            </c:spPr>
          </c:dPt>
          <c:dPt>
            <c:idx val="6"/>
            <c:invertIfNegative val="0"/>
            <c:spPr>
              <a:solidFill>
                <a:schemeClr val="accent6"/>
              </a:solidFill>
              <a:ln>
                <a:solidFill>
                  <a:schemeClr val="accent6"/>
                </a:solidFill>
              </a:ln>
            </c:spPr>
          </c:dPt>
          <c:dPt>
            <c:idx val="7"/>
            <c:invertIfNegative val="0"/>
            <c:spPr>
              <a:solidFill>
                <a:schemeClr val="accent6"/>
              </a:solidFill>
              <a:ln>
                <a:solidFill>
                  <a:schemeClr val="accent6"/>
                </a:solidFill>
              </a:ln>
            </c:spPr>
          </c:dPt>
          <c:dLbls>
            <c:numFmt formatCode="General" sourceLinked="1"/>
            <c:showLegendKey val="0"/>
            <c:showVal val="0"/>
            <c:showBubbleSize val="0"/>
            <c:showCatName val="0"/>
            <c:showSerName val="0"/>
            <c:showPercent val="0"/>
          </c:dLbls>
          <c:cat>
            <c:strRef>
              <c:f>'Background Calculations'!$C$185:$C$192</c:f>
              <c:strCache/>
            </c:strRef>
          </c:cat>
          <c:val>
            <c:numRef>
              <c:f>'Background Calculations'!$F$185:$F$192</c:f>
              <c:numCache/>
            </c:numRef>
          </c:val>
        </c:ser>
        <c:gapWidth val="200"/>
        <c:axId val="49913417"/>
        <c:axId val="46567570"/>
      </c:barChart>
      <c:catAx>
        <c:axId val="5446900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400" b="0" i="0" u="none" baseline="0">
                <a:solidFill>
                  <a:schemeClr val="tx1">
                    <a:lumMod val="65000"/>
                    <a:lumOff val="35000"/>
                  </a:schemeClr>
                </a:solidFill>
                <a:latin typeface="+mn-lt"/>
                <a:ea typeface="+mn-cs"/>
                <a:cs typeface="+mn-cs"/>
              </a:defRPr>
            </a:pPr>
          </a:p>
        </c:txPr>
        <c:crossAx val="20459016"/>
        <c:crosses val="autoZero"/>
        <c:auto val="1"/>
        <c:lblOffset val="100"/>
        <c:noMultiLvlLbl val="0"/>
      </c:catAx>
      <c:valAx>
        <c:axId val="20459016"/>
        <c:scaling>
          <c:orientation val="minMax"/>
        </c:scaling>
        <c:axPos val="l"/>
        <c:title>
          <c:tx>
            <c:rich>
              <a:bodyPr vert="horz" rot="-5400000" anchor="ctr"/>
              <a:lstStyle/>
              <a:p>
                <a:pPr algn="ctr">
                  <a:defRPr/>
                </a:pPr>
                <a:r>
                  <a:rPr lang="en-US" cap="none" sz="1800" b="0" i="0" u="none" baseline="0">
                    <a:latin typeface="Calibri"/>
                    <a:ea typeface="Calibri"/>
                    <a:cs typeface="Calibri"/>
                  </a:rPr>
                  <a:t>kWh/lb</a:t>
                </a:r>
                <a:r>
                  <a:rPr lang="en-US" cap="none" sz="1800" b="0" i="0" u="none" baseline="0">
                    <a:latin typeface="Calibri"/>
                    <a:ea typeface="Calibri"/>
                    <a:cs typeface="Calibri"/>
                  </a:rPr>
                  <a:t> BOD</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54469007"/>
        <c:crosses val="autoZero"/>
        <c:crossBetween val="between"/>
        <c:dispUnits/>
      </c:valAx>
      <c:catAx>
        <c:axId val="49913417"/>
        <c:scaling>
          <c:orientation val="minMax"/>
        </c:scaling>
        <c:axPos val="b"/>
        <c:delete val="1"/>
        <c:majorTickMark val="out"/>
        <c:minorTickMark val="none"/>
        <c:tickLblPos val="nextTo"/>
        <c:crossAx val="46567570"/>
        <c:crosses val="autoZero"/>
        <c:auto val="1"/>
        <c:lblOffset val="100"/>
        <c:noMultiLvlLbl val="0"/>
      </c:catAx>
      <c:valAx>
        <c:axId val="46567570"/>
        <c:scaling>
          <c:orientation val="minMax"/>
        </c:scaling>
        <c:axPos val="l"/>
        <c:title>
          <c:tx>
            <c:rich>
              <a:bodyPr vert="horz" rot="-5400000" anchor="ctr"/>
              <a:lstStyle/>
              <a:p>
                <a:pPr algn="ctr">
                  <a:defRPr/>
                </a:pPr>
                <a:r>
                  <a:rPr lang="en-US" cap="none" sz="1800" b="0" i="0" u="none" baseline="0">
                    <a:solidFill>
                      <a:schemeClr val="tx1">
                        <a:lumMod val="65000"/>
                        <a:lumOff val="35000"/>
                      </a:schemeClr>
                    </a:solidFill>
                    <a:latin typeface="+mn-lt"/>
                    <a:ea typeface="Calibri"/>
                    <a:cs typeface="Calibri"/>
                  </a:rPr>
                  <a:t>$/lb BOD</a:t>
                </a:r>
              </a:p>
            </c:rich>
          </c:tx>
          <c:layout/>
          <c:overlay val="0"/>
          <c:spPr>
            <a:noFill/>
            <a:ln>
              <a:noFill/>
            </a:ln>
          </c:spPr>
        </c:title>
        <c:delete val="0"/>
        <c:numFmt formatCode="&quot;$&quot;#,##0.00" sourceLinked="0"/>
        <c:majorTickMark val="out"/>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49913417"/>
        <c:crosses val="max"/>
        <c:crossBetween val="between"/>
        <c:dispUnits/>
      </c:valAx>
      <c:spPr>
        <a:noFill/>
        <a:ln>
          <a:noFill/>
        </a:ln>
      </c:spPr>
    </c:plotArea>
    <c:legend>
      <c:legendPos val="b"/>
      <c:legendEntry>
        <c:idx val="1"/>
        <c:delete val="1"/>
      </c:legendEntry>
      <c:legendEntry>
        <c:idx val="2"/>
        <c:delete val="1"/>
      </c:legendEntry>
      <c:layout/>
      <c:overlay val="0"/>
      <c:spPr>
        <a:noFill/>
        <a:ln>
          <a:noFill/>
        </a:ln>
      </c:spPr>
      <c:txPr>
        <a:bodyPr vert="horz" rot="0"/>
        <a:lstStyle/>
        <a:p>
          <a:pPr>
            <a:defRPr lang="en-US" cap="none" sz="18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2400" b="0" i="0" u="none" baseline="0">
                <a:solidFill>
                  <a:schemeClr val="tx1">
                    <a:lumMod val="65000"/>
                    <a:lumOff val="35000"/>
                  </a:schemeClr>
                </a:solidFill>
                <a:latin typeface="+mn-lt"/>
                <a:ea typeface="Calibri"/>
                <a:cs typeface="Calibri"/>
              </a:rPr>
              <a:t>Phosphorus Removal</a:t>
            </a:r>
          </a:p>
        </c:rich>
      </c:tx>
      <c:layout/>
      <c:overlay val="0"/>
      <c:spPr>
        <a:noFill/>
        <a:ln>
          <a:noFill/>
        </a:ln>
      </c:spPr>
    </c:title>
    <c:plotArea>
      <c:layout/>
      <c:barChart>
        <c:barDir val="col"/>
        <c:grouping val="clustered"/>
        <c:varyColors val="0"/>
        <c:ser>
          <c:idx val="0"/>
          <c:order val="0"/>
          <c:tx>
            <c:v>Influent TP</c:v>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dkUpDiag">
                <a:fgClr>
                  <a:schemeClr val="accent1"/>
                </a:fgClr>
                <a:bgClr>
                  <a:schemeClr val="bg1"/>
                </a:bgClr>
              </a:pattFill>
              <a:ln>
                <a:solidFill>
                  <a:schemeClr val="accent1"/>
                </a:solidFill>
              </a:ln>
            </c:spPr>
          </c:dPt>
          <c:dPt>
            <c:idx val="1"/>
            <c:invertIfNegative val="0"/>
            <c:spPr>
              <a:pattFill prst="dkUpDiag">
                <a:fgClr>
                  <a:schemeClr val="accent1"/>
                </a:fgClr>
                <a:bgClr>
                  <a:schemeClr val="bg1"/>
                </a:bgClr>
              </a:pattFill>
              <a:ln>
                <a:solidFill>
                  <a:schemeClr val="accent1"/>
                </a:solid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Lbls>
            <c:numFmt formatCode="General" sourceLinked="1"/>
            <c:showLegendKey val="0"/>
            <c:showVal val="0"/>
            <c:showBubbleSize val="0"/>
            <c:showCatName val="0"/>
            <c:showSerName val="0"/>
            <c:showPercent val="0"/>
          </c:dLbls>
          <c:cat>
            <c:strRef>
              <c:f>'Background Calculations'!$X$109:$X$115</c:f>
              <c:strCache/>
            </c:strRef>
          </c:cat>
          <c:val>
            <c:numRef>
              <c:f>'Background Calculations'!$Y$109:$Y$115</c:f>
              <c:numCache/>
            </c:numRef>
          </c:val>
        </c:ser>
        <c:ser>
          <c:idx val="1"/>
          <c:order val="1"/>
          <c:tx>
            <c:v>Effluent TP</c:v>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dkUpDiag">
                <a:fgClr>
                  <a:schemeClr val="accent2"/>
                </a:fgClr>
                <a:bgClr>
                  <a:schemeClr val="bg1"/>
                </a:bgClr>
              </a:pattFill>
              <a:ln>
                <a:solidFill>
                  <a:schemeClr val="accent2"/>
                </a:solidFill>
              </a:ln>
            </c:spPr>
          </c:dPt>
          <c:dPt>
            <c:idx val="1"/>
            <c:invertIfNegative val="0"/>
            <c:spPr>
              <a:pattFill prst="dkUpDiag">
                <a:fgClr>
                  <a:schemeClr val="accent2"/>
                </a:fgClr>
                <a:bgClr>
                  <a:schemeClr val="bg1"/>
                </a:bgClr>
              </a:pattFill>
              <a:ln>
                <a:solidFill>
                  <a:schemeClr val="accent2"/>
                </a:solidFill>
              </a:ln>
            </c:spPr>
          </c:dPt>
          <c:dPt>
            <c:idx val="2"/>
            <c:invertIfNegative val="0"/>
            <c:spPr>
              <a:solidFill>
                <a:schemeClr val="accent2"/>
              </a:solidFill>
              <a:ln>
                <a:noFill/>
              </a:ln>
            </c:spPr>
          </c:dPt>
          <c:dPt>
            <c:idx val="3"/>
            <c:invertIfNegative val="0"/>
            <c:spPr>
              <a:solidFill>
                <a:schemeClr val="accent2"/>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2"/>
              </a:solidFill>
              <a:ln>
                <a:noFill/>
              </a:ln>
            </c:spPr>
          </c:dPt>
          <c:dLbls>
            <c:numFmt formatCode="General" sourceLinked="1"/>
            <c:showLegendKey val="0"/>
            <c:showVal val="0"/>
            <c:showBubbleSize val="0"/>
            <c:showCatName val="0"/>
            <c:showSerName val="0"/>
            <c:showPercent val="0"/>
          </c:dLbls>
          <c:cat>
            <c:strLit>
              <c:ptCount val="7"/>
              <c:pt idx="0">
                <c:v>Jul 2015 - Jun 2016</c:v>
              </c:pt>
              <c:pt idx="1">
                <c:v>Jul 2016 - Jun 2017</c:v>
              </c:pt>
              <c:pt idx="2">
                <c:v>Jul 2017 - Jun 2018</c:v>
              </c:pt>
              <c:pt idx="3">
                <c:v>Jul 2018 - Jun 2019</c:v>
              </c:pt>
              <c:pt idx="4">
                <c:v>Jul 2019 - Jun 2020</c:v>
              </c:pt>
              <c:pt idx="5">
                <c:v>Jul 2020 - Jun 2021</c:v>
              </c:pt>
              <c:pt idx="6">
                <c:v>Jul 2021 - Jun 2022</c:v>
              </c:pt>
            </c:strLit>
          </c:cat>
          <c:val>
            <c:numRef>
              <c:f>'Background Calculations'!$Z$109:$Z$115</c:f>
              <c:numCache/>
            </c:numRef>
          </c:val>
        </c:ser>
        <c:gapWidth val="219"/>
        <c:axId val="16454947"/>
        <c:axId val="13876796"/>
      </c:barChart>
      <c:lineChart>
        <c:grouping val="standard"/>
        <c:varyColors val="0"/>
        <c:ser>
          <c:idx val="2"/>
          <c:order val="2"/>
          <c:tx>
            <c:v>TP removal (lbs/mo)</c:v>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numLit>
              <c:ptCount val="7"/>
              <c:pt idx="0">
                <c:v>2</c:v>
              </c:pt>
              <c:pt idx="1">
                <c:v>3</c:v>
              </c:pt>
              <c:pt idx="2">
                <c:v>4</c:v>
              </c:pt>
              <c:pt idx="3">
                <c:v>5</c:v>
              </c:pt>
              <c:pt idx="4">
                <c:v>6</c:v>
              </c:pt>
              <c:pt idx="5">
                <c:v>7</c:v>
              </c:pt>
              <c:pt idx="6">
                <c:v>8</c:v>
              </c:pt>
            </c:numLit>
          </c:cat>
          <c:val>
            <c:numRef>
              <c:f>'Background Calculations'!$AC$109:$AC$115</c:f>
              <c:numCache/>
            </c:numRef>
          </c:val>
          <c:smooth val="0"/>
        </c:ser>
        <c:marker val="1"/>
        <c:axId val="57782301"/>
        <c:axId val="50278662"/>
      </c:lineChart>
      <c:catAx>
        <c:axId val="1645494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600" b="0" i="0" u="none" baseline="0">
                <a:solidFill>
                  <a:schemeClr val="tx1">
                    <a:lumMod val="65000"/>
                    <a:lumOff val="35000"/>
                  </a:schemeClr>
                </a:solidFill>
                <a:latin typeface="+mn-lt"/>
                <a:ea typeface="+mn-cs"/>
                <a:cs typeface="+mn-cs"/>
              </a:defRPr>
            </a:pPr>
          </a:p>
        </c:txPr>
        <c:crossAx val="13876796"/>
        <c:crosses val="autoZero"/>
        <c:auto val="1"/>
        <c:lblOffset val="100"/>
        <c:noMultiLvlLbl val="0"/>
      </c:catAx>
      <c:valAx>
        <c:axId val="13876796"/>
        <c:scaling>
          <c:orientation val="minMax"/>
        </c:scaling>
        <c:axPos val="l"/>
        <c:title>
          <c:tx>
            <c:rich>
              <a:bodyPr vert="horz" rot="-5400000" anchor="ctr"/>
              <a:lstStyle/>
              <a:p>
                <a:pPr algn="ctr">
                  <a:defRPr/>
                </a:pPr>
                <a:r>
                  <a:rPr lang="en-US" cap="none" sz="1600" b="0" i="0" u="none" baseline="0">
                    <a:solidFill>
                      <a:schemeClr val="tx1">
                        <a:lumMod val="65000"/>
                        <a:lumOff val="35000"/>
                      </a:schemeClr>
                    </a:solidFill>
                    <a:latin typeface="+mn-lt"/>
                    <a:ea typeface="Calibri"/>
                    <a:cs typeface="Calibri"/>
                  </a:rPr>
                  <a:t>TP Concentration (mg/L)</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600" b="0" i="0" u="none" baseline="0">
                <a:solidFill>
                  <a:schemeClr val="tx1">
                    <a:lumMod val="65000"/>
                    <a:lumOff val="35000"/>
                  </a:schemeClr>
                </a:solidFill>
                <a:latin typeface="+mn-lt"/>
                <a:ea typeface="+mn-cs"/>
                <a:cs typeface="+mn-cs"/>
              </a:defRPr>
            </a:pPr>
          </a:p>
        </c:txPr>
        <c:crossAx val="16454947"/>
        <c:crosses val="autoZero"/>
        <c:crossBetween val="between"/>
        <c:dispUnits/>
      </c:valAx>
      <c:catAx>
        <c:axId val="57782301"/>
        <c:scaling>
          <c:orientation val="minMax"/>
        </c:scaling>
        <c:axPos val="b"/>
        <c:delete val="1"/>
        <c:majorTickMark val="out"/>
        <c:minorTickMark val="none"/>
        <c:tickLblPos val="nextTo"/>
        <c:crossAx val="50278662"/>
        <c:crosses val="autoZero"/>
        <c:auto val="1"/>
        <c:lblOffset val="100"/>
        <c:noMultiLvlLbl val="0"/>
      </c:catAx>
      <c:valAx>
        <c:axId val="50278662"/>
        <c:scaling>
          <c:orientation val="minMax"/>
          <c:min val="0"/>
        </c:scaling>
        <c:axPos val="l"/>
        <c:title>
          <c:tx>
            <c:rich>
              <a:bodyPr vert="horz" rot="-5400000" anchor="ctr"/>
              <a:lstStyle/>
              <a:p>
                <a:pPr algn="ctr">
                  <a:defRPr/>
                </a:pPr>
                <a:r>
                  <a:rPr lang="en-US" cap="none" sz="1600" b="0" i="0" u="none" baseline="0">
                    <a:solidFill>
                      <a:schemeClr val="tx1">
                        <a:lumMod val="65000"/>
                        <a:lumOff val="35000"/>
                      </a:schemeClr>
                    </a:solidFill>
                    <a:latin typeface="+mn-lt"/>
                    <a:ea typeface="Calibri"/>
                    <a:cs typeface="Calibri"/>
                  </a:rPr>
                  <a:t>TP removal (lbs/mo)</a:t>
                </a:r>
              </a:p>
            </c:rich>
          </c:tx>
          <c:layout/>
          <c:overlay val="0"/>
          <c:spPr>
            <a:noFill/>
            <a:ln>
              <a:noFill/>
            </a:ln>
          </c:spPr>
        </c:title>
        <c:delete val="0"/>
        <c:numFmt formatCode="General" sourceLinked="1"/>
        <c:majorTickMark val="out"/>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57782301"/>
        <c:crosses val="max"/>
        <c:crossBetween val="between"/>
        <c:dispUnits/>
      </c:valAx>
      <c:spPr>
        <a:noFill/>
        <a:ln>
          <a:noFill/>
        </a:ln>
      </c:spPr>
    </c:plotArea>
    <c:legend>
      <c:legendPos val="b"/>
      <c:layout/>
      <c:overlay val="0"/>
      <c:spPr>
        <a:noFill/>
        <a:ln>
          <a:noFill/>
        </a:ln>
      </c:spPr>
      <c:txPr>
        <a:bodyPr vert="horz" rot="0"/>
        <a:lstStyle/>
        <a:p>
          <a:pPr>
            <a:defRPr lang="en-US" cap="none" sz="12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2400" b="0" i="0" u="none" baseline="0">
                <a:solidFill>
                  <a:schemeClr val="tx1">
                    <a:lumMod val="65000"/>
                    <a:lumOff val="35000"/>
                  </a:schemeClr>
                </a:solidFill>
                <a:latin typeface="+mn-lt"/>
                <a:ea typeface="Calibri"/>
                <a:cs typeface="Calibri"/>
              </a:rPr>
              <a:t>Effluent Nitrogen and TN Removal</a:t>
            </a:r>
          </a:p>
        </c:rich>
      </c:tx>
      <c:layout/>
      <c:overlay val="0"/>
      <c:spPr>
        <a:noFill/>
        <a:ln>
          <a:noFill/>
        </a:ln>
      </c:spPr>
    </c:title>
    <c:plotArea>
      <c:layout/>
      <c:barChart>
        <c:barDir val="col"/>
        <c:grouping val="stacked"/>
        <c:varyColors val="0"/>
        <c:ser>
          <c:idx val="1"/>
          <c:order val="0"/>
          <c:tx>
            <c:strRef>
              <c:f>'Background Calculations'!$AB$96</c:f>
              <c:strCache>
                <c:ptCount val="1"/>
                <c:pt idx="0">
                  <c:v>TKN (mg/L)</c:v>
                </c:pt>
              </c:strCache>
            </c:strRef>
          </c:tx>
          <c:spPr>
            <a:solidFill>
              <a:schemeClr val="accent2"/>
            </a:solidFill>
            <a:ln>
              <a:solidFill>
                <a:schemeClr val="accent2"/>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dkUpDiag">
                <a:fgClr>
                  <a:schemeClr val="accent2"/>
                </a:fgClr>
                <a:bgClr>
                  <a:schemeClr val="bg1"/>
                </a:bgClr>
              </a:pattFill>
              <a:ln>
                <a:solidFill>
                  <a:schemeClr val="accent2"/>
                </a:solidFill>
              </a:ln>
            </c:spPr>
          </c:dPt>
          <c:dPt>
            <c:idx val="1"/>
            <c:invertIfNegative val="0"/>
            <c:spPr>
              <a:pattFill prst="dkUpDiag">
                <a:fgClr>
                  <a:schemeClr val="accent2"/>
                </a:fgClr>
                <a:bgClr>
                  <a:schemeClr val="bg1"/>
                </a:bgClr>
              </a:pattFill>
              <a:ln>
                <a:solidFill>
                  <a:schemeClr val="accent2"/>
                </a:solidFill>
              </a:ln>
            </c:spPr>
          </c:dPt>
          <c:dPt>
            <c:idx val="2"/>
            <c:invertIfNegative val="0"/>
            <c:spPr>
              <a:solidFill>
                <a:schemeClr val="accent2"/>
              </a:solidFill>
              <a:ln>
                <a:solidFill>
                  <a:schemeClr val="accent2"/>
                </a:solidFill>
              </a:ln>
            </c:spPr>
          </c:dPt>
          <c:dPt>
            <c:idx val="3"/>
            <c:invertIfNegative val="0"/>
            <c:spPr>
              <a:solidFill>
                <a:schemeClr val="accent2"/>
              </a:solidFill>
              <a:ln>
                <a:solidFill>
                  <a:schemeClr val="accent2"/>
                </a:solidFill>
              </a:ln>
            </c:spPr>
          </c:dPt>
          <c:dPt>
            <c:idx val="4"/>
            <c:invertIfNegative val="0"/>
            <c:spPr>
              <a:solidFill>
                <a:schemeClr val="accent2"/>
              </a:solidFill>
              <a:ln>
                <a:solidFill>
                  <a:schemeClr val="accent2"/>
                </a:solidFill>
              </a:ln>
            </c:spPr>
          </c:dPt>
          <c:dPt>
            <c:idx val="5"/>
            <c:invertIfNegative val="0"/>
            <c:spPr>
              <a:solidFill>
                <a:schemeClr val="accent2"/>
              </a:solidFill>
              <a:ln>
                <a:solidFill>
                  <a:schemeClr val="accent2"/>
                </a:solidFill>
              </a:ln>
            </c:spPr>
          </c:dPt>
          <c:dPt>
            <c:idx val="6"/>
            <c:invertIfNegative val="0"/>
            <c:spPr>
              <a:solidFill>
                <a:schemeClr val="accent2"/>
              </a:solidFill>
              <a:ln>
                <a:solidFill>
                  <a:schemeClr val="accent2"/>
                </a:solidFill>
              </a:ln>
            </c:spPr>
          </c:dPt>
          <c:dLbls>
            <c:numFmt formatCode="General" sourceLinked="1"/>
            <c:showLegendKey val="0"/>
            <c:showVal val="0"/>
            <c:showBubbleSize val="0"/>
            <c:showCatName val="0"/>
            <c:showSerName val="0"/>
            <c:showPercent val="0"/>
          </c:dLbls>
          <c:cat>
            <c:strRef>
              <c:f>'Background Calculations'!$X$97:$X$103</c:f>
              <c:strCache/>
            </c:strRef>
          </c:cat>
          <c:val>
            <c:numRef>
              <c:f>'Background Calculations'!$AB$97:$AB$103</c:f>
              <c:numCache/>
            </c:numRef>
          </c:val>
        </c:ser>
        <c:ser>
          <c:idx val="0"/>
          <c:order val="1"/>
          <c:tx>
            <c:strRef>
              <c:f>'Background Calculations'!$AA$96</c:f>
              <c:strCache>
                <c:ptCount val="1"/>
                <c:pt idx="0">
                  <c:v>NO3+ NO2 (mg/L)</c:v>
                </c:pt>
              </c:strCache>
            </c:strRef>
          </c:tx>
          <c:spPr>
            <a:solidFill>
              <a:schemeClr val="accent1"/>
            </a:solidFill>
            <a:ln>
              <a:solidFill>
                <a:schemeClr val="accent1"/>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dkUpDiag">
                <a:fgClr>
                  <a:schemeClr val="accent1"/>
                </a:fgClr>
                <a:bgClr>
                  <a:schemeClr val="bg1"/>
                </a:bgClr>
              </a:pattFill>
              <a:ln>
                <a:solidFill>
                  <a:schemeClr val="accent1"/>
                </a:solidFill>
              </a:ln>
            </c:spPr>
          </c:dPt>
          <c:dPt>
            <c:idx val="1"/>
            <c:invertIfNegative val="0"/>
            <c:spPr>
              <a:pattFill prst="dkUpDiag">
                <a:fgClr>
                  <a:schemeClr val="accent1"/>
                </a:fgClr>
                <a:bgClr>
                  <a:schemeClr val="bg1"/>
                </a:bgClr>
              </a:pattFill>
              <a:ln>
                <a:solidFill>
                  <a:schemeClr val="accent1"/>
                </a:solidFill>
              </a:ln>
            </c:spPr>
          </c:dPt>
          <c:dPt>
            <c:idx val="2"/>
            <c:invertIfNegative val="0"/>
            <c:spPr>
              <a:solidFill>
                <a:schemeClr val="accent1"/>
              </a:solidFill>
              <a:ln>
                <a:solidFill>
                  <a:schemeClr val="accent1"/>
                </a:solidFill>
              </a:ln>
            </c:spPr>
          </c:dPt>
          <c:dPt>
            <c:idx val="3"/>
            <c:invertIfNegative val="0"/>
            <c:spPr>
              <a:solidFill>
                <a:schemeClr val="accent1"/>
              </a:solidFill>
              <a:ln>
                <a:solidFill>
                  <a:schemeClr val="accent1"/>
                </a:solidFill>
              </a:ln>
            </c:spPr>
          </c:dPt>
          <c:dPt>
            <c:idx val="4"/>
            <c:invertIfNegative val="0"/>
            <c:spPr>
              <a:solidFill>
                <a:schemeClr val="accent1"/>
              </a:solidFill>
              <a:ln>
                <a:solidFill>
                  <a:schemeClr val="accent1"/>
                </a:solidFill>
              </a:ln>
            </c:spPr>
          </c:dPt>
          <c:dPt>
            <c:idx val="5"/>
            <c:invertIfNegative val="0"/>
            <c:spPr>
              <a:solidFill>
                <a:schemeClr val="accent1"/>
              </a:solidFill>
              <a:ln>
                <a:solidFill>
                  <a:schemeClr val="accent1"/>
                </a:solidFill>
              </a:ln>
            </c:spPr>
          </c:dPt>
          <c:dPt>
            <c:idx val="6"/>
            <c:invertIfNegative val="0"/>
            <c:spPr>
              <a:solidFill>
                <a:schemeClr val="accent1"/>
              </a:solidFill>
              <a:ln>
                <a:solidFill>
                  <a:schemeClr val="accent1"/>
                </a:solidFill>
              </a:ln>
            </c:spPr>
          </c:dPt>
          <c:dLbls>
            <c:numFmt formatCode="General" sourceLinked="1"/>
            <c:showLegendKey val="0"/>
            <c:showVal val="0"/>
            <c:showBubbleSize val="0"/>
            <c:showCatName val="0"/>
            <c:showSerName val="0"/>
            <c:showPercent val="0"/>
          </c:dLbls>
          <c:cat>
            <c:strRef>
              <c:f>'Background Calculations'!$X$97:$X$103</c:f>
              <c:strCache/>
            </c:strRef>
          </c:cat>
          <c:val>
            <c:numRef>
              <c:f>'Background Calculations'!$AA$97:$AA$103</c:f>
              <c:numCache/>
            </c:numRef>
          </c:val>
        </c:ser>
        <c:overlap val="100"/>
        <c:axId val="49854775"/>
        <c:axId val="46039792"/>
      </c:barChart>
      <c:lineChart>
        <c:grouping val="standard"/>
        <c:varyColors val="0"/>
        <c:ser>
          <c:idx val="2"/>
          <c:order val="2"/>
          <c:tx>
            <c:v>Monthly TN removal (lbs/month)</c:v>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Calculations'!$X$97:$X$103</c:f>
              <c:strCache/>
            </c:strRef>
          </c:cat>
          <c:val>
            <c:numRef>
              <c:f>'Background Calculations'!$AD$97:$AD$103</c:f>
              <c:numCache/>
            </c:numRef>
          </c:val>
          <c:smooth val="0"/>
        </c:ser>
        <c:axId val="11704945"/>
        <c:axId val="38235642"/>
      </c:lineChart>
      <c:catAx>
        <c:axId val="4985477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600" b="0" i="0" u="none" baseline="0">
                <a:solidFill>
                  <a:schemeClr val="tx1">
                    <a:lumMod val="65000"/>
                    <a:lumOff val="35000"/>
                  </a:schemeClr>
                </a:solidFill>
                <a:latin typeface="+mn-lt"/>
                <a:ea typeface="+mn-cs"/>
                <a:cs typeface="+mn-cs"/>
              </a:defRPr>
            </a:pPr>
          </a:p>
        </c:txPr>
        <c:crossAx val="46039792"/>
        <c:crosses val="autoZero"/>
        <c:auto val="1"/>
        <c:lblOffset val="100"/>
        <c:noMultiLvlLbl val="0"/>
      </c:catAx>
      <c:valAx>
        <c:axId val="46039792"/>
        <c:scaling>
          <c:orientation val="minMax"/>
        </c:scaling>
        <c:axPos val="l"/>
        <c:title>
          <c:tx>
            <c:rich>
              <a:bodyPr vert="horz" rot="-5400000" anchor="ctr"/>
              <a:lstStyle/>
              <a:p>
                <a:pPr algn="ctr">
                  <a:defRPr/>
                </a:pPr>
                <a:r>
                  <a:rPr lang="en-US" cap="none" sz="1400" b="0" i="0" u="none" baseline="0">
                    <a:solidFill>
                      <a:schemeClr val="tx1">
                        <a:lumMod val="65000"/>
                        <a:lumOff val="35000"/>
                      </a:schemeClr>
                    </a:solidFill>
                    <a:latin typeface="+mn-lt"/>
                    <a:ea typeface="Calibri"/>
                    <a:cs typeface="Calibri"/>
                  </a:rPr>
                  <a:t>Effluent TKN and NOx Concentration (mg/L)</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49854775"/>
        <c:crosses val="autoZero"/>
        <c:crossBetween val="between"/>
        <c:dispUnits/>
      </c:valAx>
      <c:catAx>
        <c:axId val="11704945"/>
        <c:scaling>
          <c:orientation val="minMax"/>
        </c:scaling>
        <c:axPos val="b"/>
        <c:delete val="1"/>
        <c:majorTickMark val="out"/>
        <c:minorTickMark val="none"/>
        <c:tickLblPos val="nextTo"/>
        <c:crossAx val="38235642"/>
        <c:crosses val="autoZero"/>
        <c:auto val="1"/>
        <c:lblOffset val="100"/>
        <c:noMultiLvlLbl val="0"/>
      </c:catAx>
      <c:valAx>
        <c:axId val="38235642"/>
        <c:scaling>
          <c:orientation val="minMax"/>
          <c:min val="0"/>
        </c:scaling>
        <c:axPos val="l"/>
        <c:title>
          <c:tx>
            <c:rich>
              <a:bodyPr vert="horz" rot="-5400000" anchor="ctr"/>
              <a:lstStyle/>
              <a:p>
                <a:pPr algn="ctr">
                  <a:defRPr/>
                </a:pPr>
                <a:r>
                  <a:rPr lang="en-US" cap="none" sz="1400" b="0" i="0" u="none" baseline="0">
                    <a:latin typeface="Calibri"/>
                    <a:ea typeface="Calibri"/>
                    <a:cs typeface="Calibri"/>
                  </a:rPr>
                  <a:t> Nitrogen Removal (lbs</a:t>
                </a:r>
                <a:r>
                  <a:rPr lang="en-US" cap="none" sz="1400" b="0" i="0" u="none" baseline="0">
                    <a:latin typeface="Calibri"/>
                    <a:ea typeface="Calibri"/>
                    <a:cs typeface="Calibri"/>
                  </a:rPr>
                  <a:t> </a:t>
                </a:r>
                <a:r>
                  <a:rPr lang="en-US" cap="none" sz="1400" b="0" i="0" u="none" baseline="0">
                    <a:latin typeface="Calibri"/>
                    <a:ea typeface="Calibri"/>
                    <a:cs typeface="Calibri"/>
                  </a:rPr>
                  <a:t>N/month)</a:t>
                </a:r>
              </a:p>
            </c:rich>
          </c:tx>
          <c:layout/>
          <c:overlay val="0"/>
          <c:spPr>
            <a:noFill/>
            <a:ln>
              <a:noFill/>
            </a:ln>
          </c:spPr>
        </c:title>
        <c:delete val="0"/>
        <c:numFmt formatCode="General" sourceLinked="1"/>
        <c:majorTickMark val="out"/>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11704945"/>
        <c:crosses val="max"/>
        <c:crossBetween val="between"/>
        <c:dispUnits/>
      </c:valAx>
      <c:spPr>
        <a:noFill/>
        <a:ln>
          <a:noFill/>
        </a:ln>
      </c:spPr>
    </c:plotArea>
    <c:legend>
      <c:legendPos val="b"/>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Monthly Electric</a:t>
            </a:r>
            <a:r>
              <a:rPr lang="en-US" cap="none" sz="1400" b="0" i="0" u="none" baseline="0">
                <a:solidFill>
                  <a:schemeClr val="tx1">
                    <a:lumMod val="65000"/>
                    <a:lumOff val="35000"/>
                  </a:schemeClr>
                </a:solidFill>
                <a:latin typeface="+mn-lt"/>
                <a:ea typeface="Calibri"/>
                <a:cs typeface="Calibri"/>
              </a:rPr>
              <a:t> Usage and Cost</a:t>
            </a:r>
          </a:p>
        </c:rich>
      </c:tx>
      <c:layout/>
      <c:overlay val="0"/>
      <c:spPr>
        <a:noFill/>
        <a:ln>
          <a:noFill/>
        </a:ln>
      </c:spPr>
    </c:title>
    <c:plotArea>
      <c:layout/>
      <c:lineChart>
        <c:grouping val="standard"/>
        <c:varyColors val="0"/>
        <c:ser>
          <c:idx val="0"/>
          <c:order val="0"/>
          <c:tx>
            <c:v>Total Electric Usage (kWh)</c:v>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Calculations'!$G$4:$G$87</c:f>
              <c:numCache/>
            </c:numRef>
          </c:val>
          <c:smooth val="0"/>
        </c:ser>
        <c:axId val="8576459"/>
        <c:axId val="10079268"/>
      </c:lineChart>
      <c:lineChart>
        <c:grouping val="standard"/>
        <c:varyColors val="0"/>
        <c:ser>
          <c:idx val="1"/>
          <c:order val="1"/>
          <c:tx>
            <c:v>Total Electric Cost ($)</c:v>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Calculations'!$O$4:$O$87</c:f>
              <c:numCache/>
            </c:numRef>
          </c:val>
          <c:smooth val="0"/>
        </c:ser>
        <c:axId val="23604549"/>
        <c:axId val="11114350"/>
      </c:lineChart>
      <c:dateAx>
        <c:axId val="8576459"/>
        <c:scaling>
          <c:orientation val="minMax"/>
        </c:scaling>
        <c:axPos val="b"/>
        <c:delete val="0"/>
        <c:numFmt formatCode="[$-409]mmm\ yyyy;@"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0079268"/>
        <c:crosses val="autoZero"/>
        <c:auto val="1"/>
        <c:baseTimeUnit val="months"/>
        <c:noMultiLvlLbl val="0"/>
      </c:dateAx>
      <c:valAx>
        <c:axId val="10079268"/>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8576459"/>
        <c:crosses val="autoZero"/>
        <c:crossBetween val="between"/>
        <c:dispUnits/>
      </c:valAx>
      <c:dateAx>
        <c:axId val="23604549"/>
        <c:scaling>
          <c:orientation val="minMax"/>
        </c:scaling>
        <c:axPos val="b"/>
        <c:delete val="1"/>
        <c:majorTickMark val="out"/>
        <c:minorTickMark val="none"/>
        <c:tickLblPos val="nextTo"/>
        <c:crossAx val="11114350"/>
        <c:crosses val="autoZero"/>
        <c:auto val="1"/>
        <c:baseTimeUnit val="months"/>
        <c:majorUnit val="1"/>
        <c:majorTimeUnit val="days"/>
        <c:minorUnit val="1"/>
        <c:minorTimeUnit val="days"/>
        <c:noMultiLvlLbl val="0"/>
      </c:dateAx>
      <c:valAx>
        <c:axId val="11114350"/>
        <c:scaling>
          <c:orientation val="minMax"/>
        </c:scaling>
        <c:axPos val="l"/>
        <c:delete val="0"/>
        <c:numFmt formatCode="&quot;$&quot;#,##0_);\(&quot;$&quot;#,##0\)" sourceLinked="0"/>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3604549"/>
        <c:crosses val="max"/>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Monthly Flow and BOD removal</a:t>
            </a:r>
          </a:p>
        </c:rich>
      </c:tx>
      <c:layout/>
      <c:overlay val="0"/>
      <c:spPr>
        <a:noFill/>
        <a:ln>
          <a:noFill/>
        </a:ln>
      </c:spPr>
    </c:title>
    <c:plotArea>
      <c:layout/>
      <c:lineChart>
        <c:grouping val="standard"/>
        <c:varyColors val="0"/>
        <c:ser>
          <c:idx val="0"/>
          <c:order val="0"/>
          <c:tx>
            <c:v>Average Flow (MGD)</c:v>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Calculations'!$C$4:$C$87</c:f>
              <c:numCache/>
            </c:numRef>
          </c:val>
          <c:smooth val="0"/>
        </c:ser>
        <c:axId val="32920287"/>
        <c:axId val="27847128"/>
      </c:lineChart>
      <c:lineChart>
        <c:grouping val="standard"/>
        <c:varyColors val="0"/>
        <c:ser>
          <c:idx val="1"/>
          <c:order val="1"/>
          <c:tx>
            <c:v>BOD Removal (lbs/d)</c:v>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Calculations'!$E$4:$E$87</c:f>
              <c:numCache/>
            </c:numRef>
          </c:val>
          <c:smooth val="0"/>
        </c:ser>
        <c:axId val="49297561"/>
        <c:axId val="41024866"/>
      </c:lineChart>
      <c:dateAx>
        <c:axId val="32920287"/>
        <c:scaling>
          <c:orientation val="minMax"/>
        </c:scaling>
        <c:axPos val="b"/>
        <c:delete val="0"/>
        <c:numFmt formatCode="[$-409]mmm\ yyyy;@"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7847128"/>
        <c:crosses val="autoZero"/>
        <c:auto val="1"/>
        <c:baseTimeUnit val="months"/>
        <c:noMultiLvlLbl val="0"/>
      </c:dateAx>
      <c:valAx>
        <c:axId val="27847128"/>
        <c:scaling>
          <c:orientation val="minMax"/>
          <c:min val="0"/>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2920287"/>
        <c:crosses val="autoZero"/>
        <c:crossBetween val="between"/>
        <c:dispUnits/>
      </c:valAx>
      <c:dateAx>
        <c:axId val="49297561"/>
        <c:scaling>
          <c:orientation val="minMax"/>
        </c:scaling>
        <c:axPos val="b"/>
        <c:delete val="1"/>
        <c:majorTickMark val="out"/>
        <c:minorTickMark val="none"/>
        <c:tickLblPos val="nextTo"/>
        <c:crossAx val="41024866"/>
        <c:crosses val="autoZero"/>
        <c:auto val="1"/>
        <c:baseTimeUnit val="months"/>
        <c:noMultiLvlLbl val="0"/>
      </c:dateAx>
      <c:valAx>
        <c:axId val="41024866"/>
        <c:scaling>
          <c:orientation val="minMax"/>
        </c:scaling>
        <c:axPos val="l"/>
        <c:delete val="0"/>
        <c:numFmt formatCode="#,##0" sourceLinked="0"/>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9297561"/>
        <c:crosses val="max"/>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Price</a:t>
            </a:r>
            <a:r>
              <a:rPr lang="en-US" cap="none" sz="1400" b="0" i="0" u="none" baseline="0">
                <a:solidFill>
                  <a:schemeClr val="tx1">
                    <a:lumMod val="65000"/>
                    <a:lumOff val="35000"/>
                  </a:schemeClr>
                </a:solidFill>
                <a:latin typeface="+mn-lt"/>
                <a:ea typeface="Calibri"/>
                <a:cs typeface="Calibri"/>
              </a:rPr>
              <a:t> of Electricity Service</a:t>
            </a:r>
          </a:p>
        </c:rich>
      </c:tx>
      <c:layout/>
      <c:overlay val="0"/>
      <c:spPr>
        <a:noFill/>
        <a:ln>
          <a:noFill/>
        </a:ln>
      </c:spPr>
    </c:title>
    <c:plotArea>
      <c:layout/>
      <c:barChart>
        <c:barDir val="col"/>
        <c:grouping val="clustered"/>
        <c:varyColors val="0"/>
        <c:ser>
          <c:idx val="0"/>
          <c:order val="0"/>
          <c:tx>
            <c:v>Avg usage cost ($/kWh)</c:v>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'Background Calculations'!$B$4:$B$87</c:f>
              <c:strCache/>
            </c:strRef>
          </c:cat>
          <c:val>
            <c:numRef>
              <c:f>'Background Calculations'!$Q$4:$Q$87</c:f>
              <c:numCache/>
            </c:numRef>
          </c:val>
        </c:ser>
        <c:gapWidth val="219"/>
        <c:axId val="33679475"/>
        <c:axId val="34679820"/>
      </c:barChart>
      <c:lineChart>
        <c:grouping val="standard"/>
        <c:varyColors val="0"/>
        <c:ser>
          <c:idx val="1"/>
          <c:order val="1"/>
          <c:tx>
            <c:v>Avg Demand Cost ($/kW)</c:v>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Calculations'!$R$4:$R$87</c:f>
              <c:numCache/>
            </c:numRef>
          </c:val>
          <c:smooth val="0"/>
        </c:ser>
        <c:axId val="43682925"/>
        <c:axId val="57602006"/>
      </c:lineChart>
      <c:dateAx>
        <c:axId val="33679475"/>
        <c:scaling>
          <c:orientation val="minMax"/>
        </c:scaling>
        <c:axPos val="b"/>
        <c:delete val="0"/>
        <c:numFmt formatCode="[$-409]mmm\ yyyy;@"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4679820"/>
        <c:crosses val="autoZero"/>
        <c:auto val="1"/>
        <c:baseTimeUnit val="months"/>
        <c:noMultiLvlLbl val="0"/>
      </c:dateAx>
      <c:valAx>
        <c:axId val="34679820"/>
        <c:scaling>
          <c:orientation val="minMax"/>
        </c:scaling>
        <c:axPos val="l"/>
        <c:majorGridlines>
          <c:spPr>
            <a:ln w="9525" cap="flat" cmpd="sng">
              <a:solidFill>
                <a:schemeClr val="tx1">
                  <a:lumMod val="15000"/>
                  <a:lumOff val="85000"/>
                </a:schemeClr>
              </a:solidFill>
              <a:round/>
            </a:ln>
          </c:spPr>
        </c:majorGridlines>
        <c:delete val="0"/>
        <c:numFmt formatCode="&quot;$&quot;#,##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3679475"/>
        <c:crosses val="autoZero"/>
        <c:crossBetween val="between"/>
        <c:dispUnits/>
      </c:valAx>
      <c:dateAx>
        <c:axId val="43682925"/>
        <c:scaling>
          <c:orientation val="minMax"/>
        </c:scaling>
        <c:axPos val="b"/>
        <c:delete val="1"/>
        <c:majorTickMark val="out"/>
        <c:minorTickMark val="none"/>
        <c:tickLblPos val="nextTo"/>
        <c:crossAx val="57602006"/>
        <c:crosses val="autoZero"/>
        <c:auto val="1"/>
        <c:baseTimeUnit val="months"/>
        <c:majorUnit val="1"/>
        <c:majorTimeUnit val="days"/>
        <c:minorUnit val="1"/>
        <c:minorTimeUnit val="days"/>
        <c:noMultiLvlLbl val="0"/>
      </c:dateAx>
      <c:valAx>
        <c:axId val="57602006"/>
        <c:scaling>
          <c:orientation val="minMax"/>
        </c:scaling>
        <c:axPos val="l"/>
        <c:delete val="0"/>
        <c:numFmt formatCode="&quot;$&quot;#,##0.0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3682925"/>
        <c:crosses val="max"/>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Approx. TN removal (lbs)</a:t>
            </a:r>
          </a:p>
        </c:rich>
      </c:tx>
      <c:layout/>
      <c:overlay val="0"/>
      <c:spPr>
        <a:noFill/>
        <a:ln>
          <a:noFill/>
        </a:ln>
      </c:spPr>
    </c:title>
    <c:plotArea>
      <c:layout/>
      <c:lineChart>
        <c:grouping val="standard"/>
        <c:varyColors val="0"/>
        <c:ser>
          <c:idx val="0"/>
          <c:order val="0"/>
          <c:tx>
            <c:v>Approx. TN removal (lbs)</c:v>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Calculations'!$AE$4:$AE$87</c:f>
              <c:numCache/>
            </c:numRef>
          </c:val>
          <c:smooth val="0"/>
        </c:ser>
        <c:axId val="48656007"/>
        <c:axId val="35250880"/>
      </c:lineChart>
      <c:lineChart>
        <c:grouping val="standard"/>
        <c:varyColors val="0"/>
        <c:ser>
          <c:idx val="1"/>
          <c:order val="1"/>
          <c:tx>
            <c:v>Approx TN removal (mg/L)</c:v>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'Background Calculations'!$AD$4:$AD$87</c:f>
              <c:numCache/>
            </c:numRef>
          </c:val>
          <c:smooth val="0"/>
        </c:ser>
        <c:axId val="48822465"/>
        <c:axId val="36749002"/>
      </c:lineChart>
      <c:dateAx>
        <c:axId val="48656007"/>
        <c:scaling>
          <c:orientation val="minMax"/>
        </c:scaling>
        <c:axPos val="b"/>
        <c:delete val="0"/>
        <c:numFmt formatCode="[$-409]mmm\ yyyy;@"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5250880"/>
        <c:crosses val="autoZero"/>
        <c:auto val="1"/>
        <c:baseTimeUnit val="months"/>
        <c:noMultiLvlLbl val="0"/>
      </c:dateAx>
      <c:valAx>
        <c:axId val="35250880"/>
        <c:scaling>
          <c:orientation val="minMax"/>
        </c:scaling>
        <c:axPos val="l"/>
        <c:majorGridlines>
          <c:spPr>
            <a:ln w="9525" cap="flat" cmpd="sng">
              <a:solidFill>
                <a:schemeClr val="tx1">
                  <a:lumMod val="15000"/>
                  <a:lumOff val="85000"/>
                </a:schemeClr>
              </a:solidFill>
              <a:round/>
            </a:ln>
          </c:spPr>
        </c:majorGridlines>
        <c:delete val="0"/>
        <c:numFmt formatCode="#,##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8656007"/>
        <c:crosses val="autoZero"/>
        <c:crossBetween val="between"/>
        <c:dispUnits/>
      </c:valAx>
      <c:catAx>
        <c:axId val="48822465"/>
        <c:scaling>
          <c:orientation val="minMax"/>
        </c:scaling>
        <c:axPos val="b"/>
        <c:delete val="1"/>
        <c:majorTickMark val="out"/>
        <c:minorTickMark val="none"/>
        <c:tickLblPos val="nextTo"/>
        <c:crossAx val="36749002"/>
        <c:crosses val="autoZero"/>
        <c:auto val="1"/>
        <c:lblOffset val="100"/>
        <c:noMultiLvlLbl val="0"/>
      </c:catAx>
      <c:valAx>
        <c:axId val="36749002"/>
        <c:scaling>
          <c:orientation val="minMax"/>
        </c:scaling>
        <c:axPos val="l"/>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8822465"/>
        <c:crosses val="max"/>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Pr codeName="Chart11"/>
  <sheetViews>
    <sheetView workbookViewId="0" zoomScale="64" zoomToFit="1"/>
  </sheetViews>
  <pageMargins left="0.7" right="0.7" top="0.75" bottom="0.75" header="0.3" footer="0.3"/>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Pr codeName="Chart12"/>
  <sheetViews>
    <sheetView workbookViewId="0" zoomScale="64" zoomToFit="1"/>
  </sheetViews>
  <pageMargins left="0.7" right="0.7" top="0.75" bottom="0.75" header="0.3" footer="0.3"/>
  <pageSetup horizontalDpi="300" verticalDpi="300" orientation="landscape" paperSize="9"/>
  <drawing r:id="rId1"/>
</chartsheet>
</file>

<file path=xl/chartsheets/sheet3.xml><?xml version="1.0" encoding="utf-8"?>
<chartsheet xmlns="http://schemas.openxmlformats.org/spreadsheetml/2006/main" xmlns:r="http://schemas.openxmlformats.org/officeDocument/2006/relationships">
  <sheetPr codeName="Chart9"/>
  <sheetViews>
    <sheetView workbookViewId="0" zoomScale="64" zoomToFit="1"/>
  </sheetViews>
  <pageMargins left="0.7" right="0.7" top="0.75" bottom="0.75" header="0.3" footer="0.3"/>
  <pageSetup horizontalDpi="300" verticalDpi="300" orientation="landscape" paperSize="9"/>
  <drawing r:id="rId1"/>
</chartsheet>
</file>

<file path=xl/chartsheets/sheet4.xml><?xml version="1.0" encoding="utf-8"?>
<chartsheet xmlns="http://schemas.openxmlformats.org/spreadsheetml/2006/main" xmlns:r="http://schemas.openxmlformats.org/officeDocument/2006/relationships">
  <sheetPr codeName="Chart10"/>
  <sheetViews>
    <sheetView workbookViewId="0" zoomScale="64" zoomToFit="1"/>
  </sheetViews>
  <pageMargins left="0.7" right="0.7" top="0.75" bottom="0.75" header="0.3" footer="0.3"/>
  <pageSetup firstPageNumber="1" useFirstPageNumber="1" horizontalDpi="600" verticalDpi="600" orientation="landscape"/>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1085850</xdr:colOff>
      <xdr:row>5</xdr:row>
      <xdr:rowOff>180975</xdr:rowOff>
    </xdr:from>
    <xdr:to>
      <xdr:col>6</xdr:col>
      <xdr:colOff>1352550</xdr:colOff>
      <xdr:row>6</xdr:row>
      <xdr:rowOff>219075</xdr:rowOff>
    </xdr:to>
    <xdr:sp macro="" textlink="">
      <xdr:nvSpPr>
        <xdr:cNvPr id="2" name="Striped Right Arrow 1"/>
        <xdr:cNvSpPr/>
      </xdr:nvSpPr>
      <xdr:spPr>
        <a:xfrm rot="5400000">
          <a:off x="8696325" y="1695450"/>
          <a:ext cx="266700" cy="295275"/>
        </a:xfrm>
        <a:prstGeom prst="striped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en-US" sz="1100"/>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xdr:col>
          <xdr:colOff>514348</xdr:colOff>
          <xdr:row>20</xdr:row>
          <xdr:rowOff>95251</xdr:rowOff>
        </xdr:from>
        <xdr:to>
          <xdr:col>6</xdr:col>
          <xdr:colOff>598712</xdr:colOff>
          <xdr:row>20</xdr:row>
          <xdr:rowOff>529318</xdr:rowOff>
        </xdr:to>
        <xdr:grpSp>
          <xdr:nvGrpSpPr>
            <xdr:cNvPr id="3" name="Group 2">
              <a:extLst xmlns:a="http://schemas.openxmlformats.org/drawingml/2006/main">
                <a:ext uri="{FF2B5EF4-FFF2-40B4-BE49-F238E27FC236}">
                  <a16:creationId xmlns:a16="http://schemas.microsoft.com/office/drawing/2014/main" id="{00000000-0008-0000-0100-000003000000}"/>
                </a:ext>
              </a:extLst>
            </xdr:cNvPr>
            <xdr:cNvGrpSpPr/>
          </xdr:nvGrpSpPr>
          <xdr:grpSpPr>
            <a:xfrm xmlns:a="http://schemas.openxmlformats.org/drawingml/2006/main">
              <a:off x="2419348" y="9193894"/>
              <a:ext cx="6144078" cy="434067"/>
              <a:chOff x="4616451" y="6449787"/>
              <a:chExt cx="5609995" cy="434067"/>
            </a:xfrm>
          </xdr:grpSpPr>
          <xdr:sp macro="" textlink="">
            <xdr:nvSpPr>
              <xdr:cNvPr id="3073" name="CommandButton1" hidden="1">
                <a:extLst xmlns:a="http://schemas.openxmlformats.org/drawingml/2006/main">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xmlns:a="http://schemas.openxmlformats.org/drawingml/2006/main">
                <a:off x="4616451" y="6464754"/>
                <a:ext cx="1319694" cy="4191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sp macro="" textlink="">
            <xdr:nvSpPr>
              <xdr:cNvPr id="3074" name="CommandButton2" hidden="1">
                <a:extLst xmlns:a="http://schemas.openxmlformats.org/drawingml/2006/main">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xmlns:a="http://schemas.openxmlformats.org/drawingml/2006/main">
                <a:off x="6076033" y="6449787"/>
                <a:ext cx="1321901" cy="4191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sp macro="" textlink="">
            <xdr:nvSpPr>
              <xdr:cNvPr id="3075" name="CommandButton3" hidden="1">
                <a:extLst xmlns:a="http://schemas.openxmlformats.org/drawingml/2006/main">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xmlns:a="http://schemas.openxmlformats.org/drawingml/2006/main">
                <a:off x="7546050" y="6449787"/>
                <a:ext cx="1321901" cy="4191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sp macro="" textlink="">
            <xdr:nvSpPr>
              <xdr:cNvPr id="3076" name="CommandButton4" hidden="1">
                <a:extLst xmlns:a="http://schemas.openxmlformats.org/drawingml/2006/main">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xmlns:a="http://schemas.openxmlformats.org/drawingml/2006/main">
                <a:off x="9016063" y="6449787"/>
                <a:ext cx="1210383" cy="4191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grpSp>
        <xdr:clientData/>
      </xdr:twoCellAnchor>
    </mc:Choice>
    <mc:Fallback/>
  </mc:AlternateContent>
  <xdr:twoCellAnchor>
    <xdr:from>
      <xdr:col>1</xdr:col>
      <xdr:colOff>123825</xdr:colOff>
      <xdr:row>5</xdr:row>
      <xdr:rowOff>190500</xdr:rowOff>
    </xdr:from>
    <xdr:to>
      <xdr:col>1</xdr:col>
      <xdr:colOff>409575</xdr:colOff>
      <xdr:row>6</xdr:row>
      <xdr:rowOff>247650</xdr:rowOff>
    </xdr:to>
    <xdr:sp macro="" textlink="">
      <xdr:nvSpPr>
        <xdr:cNvPr id="8" name="Striped Right Arrow 8"/>
        <xdr:cNvSpPr/>
      </xdr:nvSpPr>
      <xdr:spPr>
        <a:xfrm rot="5400000">
          <a:off x="228600" y="1704975"/>
          <a:ext cx="285750" cy="314325"/>
        </a:xfrm>
        <a:prstGeom prst="striped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en-US" sz="1100"/>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0.04175</cdr:x>
      <cdr:y>0.02475</cdr:y>
    </cdr:from>
    <cdr:to>
      <cdr:x>0.9605</cdr:x>
      <cdr:y>0.08175</cdr:y>
    </cdr:to>
    <cdr:sp macro="" textlink="'Energy Data Entry'!$C$8:$G$8">
      <cdr:nvSpPr>
        <cdr:cNvPr id="2" name="TextBox 1"/>
        <cdr:cNvSpPr txBox="1"/>
      </cdr:nvSpPr>
      <cdr:spPr>
        <a:xfrm>
          <a:off x="352425" y="152400"/>
          <a:ext cx="7953375" cy="361950"/>
        </a:xfrm>
        <a:prstGeom prst="rect">
          <a:avLst/>
        </a:prstGeom>
        <a:ln>
          <a:noFill/>
        </a:ln>
      </cdr:spPr>
      <cdr:txBody>
        <a:bodyPr vertOverflow="clip" wrap="square" rtlCol="0" anchor="ctr"/>
        <a:lstStyle/>
        <a:p>
          <a:pPr algn="ctr"/>
          <a:fld id="{71D4A639-D510-4F2E-A1B5-A04BF931227E}" type="TxLink">
            <a:rPr lang="en-US" sz="2400" b="1" i="0" u="none" strike="noStrike">
              <a:solidFill>
                <a:srgbClr val="000000"/>
              </a:solidFill>
              <a:latin typeface="Arial"/>
              <a:cs typeface="Arial"/>
            </a:rPr>
            <a:pPr algn="ctr"/>
            <a:t>Webinarville, Tennessee WWTP</a:t>
          </a:fld>
          <a:endParaRPr lang="en-US" sz="1800"/>
        </a:p>
      </cdr:txBody>
    </cdr:sp>
  </cdr:relSizeAnchor>
  <cdr:relSizeAnchor xmlns:cdr="http://schemas.openxmlformats.org/drawingml/2006/chartDrawing">
    <cdr:from>
      <cdr:x>0.26425</cdr:x>
      <cdr:y>0.10425</cdr:y>
    </cdr:from>
    <cdr:to>
      <cdr:x>0.747</cdr:x>
      <cdr:y>0.1425</cdr:y>
    </cdr:to>
    <cdr:sp macro="" textlink="">
      <cdr:nvSpPr>
        <cdr:cNvPr id="3" name="TextBox 2"/>
        <cdr:cNvSpPr txBox="1"/>
      </cdr:nvSpPr>
      <cdr:spPr>
        <a:xfrm>
          <a:off x="2286000" y="647700"/>
          <a:ext cx="4181475" cy="238125"/>
        </a:xfrm>
        <a:prstGeom prst="rect">
          <a:avLst/>
        </a:prstGeom>
        <a:ln>
          <a:noFill/>
        </a:ln>
      </cdr:spPr>
      <cdr:txBody>
        <a:bodyPr vertOverflow="clip" wrap="square" rtlCol="0"/>
        <a:lstStyle/>
        <a:p>
          <a:endParaRPr lang="en-US" sz="1100"/>
        </a:p>
      </cdr:txBody>
    </cdr:sp>
  </cdr:relSizeAnchor>
  <cdr:relSizeAnchor xmlns:cdr="http://schemas.openxmlformats.org/drawingml/2006/chartDrawing">
    <cdr:from>
      <cdr:x>0.24825</cdr:x>
      <cdr:y>0.0935</cdr:y>
    </cdr:from>
    <cdr:to>
      <cdr:x>0.754</cdr:x>
      <cdr:y>0.14475</cdr:y>
    </cdr:to>
    <cdr:sp macro="" textlink="">
      <cdr:nvSpPr>
        <cdr:cNvPr id="4" name="TextBox 3"/>
        <cdr:cNvSpPr txBox="1"/>
      </cdr:nvSpPr>
      <cdr:spPr>
        <a:xfrm>
          <a:off x="2143125" y="581025"/>
          <a:ext cx="4381500" cy="323850"/>
        </a:xfrm>
        <a:prstGeom prst="rect">
          <a:avLst/>
        </a:prstGeom>
        <a:ln>
          <a:noFill/>
        </a:ln>
      </cdr:spPr>
      <cdr:txBody>
        <a:bodyPr vertOverflow="clip" wrap="non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sz="1800" b="0" i="0" baseline="0">
              <a:effectLst/>
              <a:latin typeface="+mn-lt"/>
              <a:ea typeface="+mn-ea"/>
              <a:cs typeface="+mn-cs"/>
            </a:rPr>
            <a:t>Average Energy Usage per Voume Treated</a:t>
          </a:r>
          <a:endParaRPr lang="en-US" sz="1800">
            <a:effectLst/>
          </a:endParaRPr>
        </a:p>
        <a:p>
          <a:endParaRPr lang="en-US" sz="1100"/>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58225" cy="62865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cdr:x>
      <cdr:y>0.02325</cdr:y>
    </cdr:from>
    <cdr:to>
      <cdr:x>0.95125</cdr:x>
      <cdr:y>0.1065</cdr:y>
    </cdr:to>
    <cdr:sp macro="" textlink="'Energy Data Entry'!$C$8:$G$8">
      <cdr:nvSpPr>
        <cdr:cNvPr id="2" name="TextBox 1"/>
        <cdr:cNvSpPr txBox="1"/>
      </cdr:nvSpPr>
      <cdr:spPr>
        <a:xfrm>
          <a:off x="342900" y="142875"/>
          <a:ext cx="7896225" cy="523875"/>
        </a:xfrm>
        <a:prstGeom prst="rect">
          <a:avLst/>
        </a:prstGeom>
        <a:ln>
          <a:noFill/>
        </a:ln>
      </cdr:spPr>
      <cdr:txBody>
        <a:bodyPr vertOverflow="clip" wrap="square" rtlCol="0" anchor="ctr"/>
        <a:lstStyle/>
        <a:p>
          <a:pPr algn="ctr"/>
          <a:fld id="{E1EA005F-8207-4E2F-92FD-670895819C38}" type="TxLink">
            <a:rPr lang="en-US" sz="2400" b="1" i="0" u="none" strike="noStrike">
              <a:solidFill>
                <a:srgbClr val="000000"/>
              </a:solidFill>
              <a:latin typeface="Arial"/>
              <a:cs typeface="Arial"/>
            </a:rPr>
            <a:pPr algn="ctr"/>
            <a:t>Webinarville, Tennessee WWTP</a:t>
          </a:fld>
          <a:endParaRPr lang="en-US" sz="1800"/>
        </a:p>
      </cdr:txBody>
    </cdr:sp>
  </cdr:relSizeAnchor>
  <cdr:relSizeAnchor xmlns:cdr="http://schemas.openxmlformats.org/drawingml/2006/chartDrawing">
    <cdr:from>
      <cdr:x>0.255</cdr:x>
      <cdr:y>0.1085</cdr:y>
    </cdr:from>
    <cdr:to>
      <cdr:x>0.73625</cdr:x>
      <cdr:y>0.15125</cdr:y>
    </cdr:to>
    <cdr:sp macro="" textlink="">
      <cdr:nvSpPr>
        <cdr:cNvPr id="3" name="TextBox 2"/>
        <cdr:cNvSpPr txBox="1"/>
      </cdr:nvSpPr>
      <cdr:spPr>
        <a:xfrm>
          <a:off x="2209800" y="676275"/>
          <a:ext cx="4171950" cy="266700"/>
        </a:xfrm>
        <a:prstGeom prst="rect">
          <a:avLst/>
        </a:prstGeom>
        <a:ln>
          <a:noFill/>
        </a:ln>
      </cdr:spPr>
      <cdr:txBody>
        <a:bodyPr vert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sz="1800" b="0" i="0" baseline="0">
              <a:effectLst/>
              <a:latin typeface="+mn-lt"/>
              <a:ea typeface="+mn-ea"/>
              <a:cs typeface="+mn-cs"/>
            </a:rPr>
            <a:t>Average Energy Usage of BOD removal</a:t>
          </a:r>
          <a:endParaRPr lang="en-US" sz="1800"/>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2865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2865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296025"/>
    <xdr:graphicFrame macro="">
      <xdr:nvGraphicFramePr>
        <xdr:cNvPr id="2" name="Chart 1"/>
        <xdr:cNvGraphicFramePr/>
      </xdr:nvGraphicFramePr>
      <xdr:xfrm>
        <a:off x="0" y="0"/>
        <a:ext cx="8677275" cy="629602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xdr:row>
      <xdr:rowOff>28575</xdr:rowOff>
    </xdr:from>
    <xdr:to>
      <xdr:col>14</xdr:col>
      <xdr:colOff>19050</xdr:colOff>
      <xdr:row>46</xdr:row>
      <xdr:rowOff>57150</xdr:rowOff>
    </xdr:to>
    <xdr:sp macro="" textlink="">
      <xdr:nvSpPr>
        <xdr:cNvPr id="2" name="TextBox 1"/>
        <xdr:cNvSpPr txBox="1"/>
      </xdr:nvSpPr>
      <xdr:spPr>
        <a:xfrm>
          <a:off x="247650" y="219075"/>
          <a:ext cx="8305800" cy="86010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t>Flow efficiency</a:t>
          </a:r>
          <a:r>
            <a:rPr lang="en-US" sz="1100"/>
            <a:t>:</a:t>
          </a:r>
        </a:p>
        <a:p>
          <a:r>
            <a:rPr lang="en-US" sz="1100"/>
            <a:t>1) Total energy used is the sum all electric meters and the kWh-eq of the gas meter for a given month. </a:t>
          </a:r>
        </a:p>
        <a:p>
          <a:r>
            <a:rPr lang="en-US" sz="1100"/>
            <a:t>2) Monthly flow is the average daily flow multiplied by</a:t>
          </a:r>
          <a:r>
            <a:rPr lang="en-US" sz="1100" baseline="0"/>
            <a:t> the number of days in that month.</a:t>
          </a:r>
        </a:p>
        <a:p>
          <a:r>
            <a:rPr lang="en-US" sz="1100" baseline="0"/>
            <a:t>3) If both total energy and total flow are populated, an average kWh/MG for that month is calculated, and the kWh and MG treated for that month count toward the yearly average. However, if (for example) a month has kWh data but not MG data, the kWh used in that month will not be included in the calculation of the annual averge kWh/MG.</a:t>
          </a:r>
        </a:p>
        <a:p>
          <a:r>
            <a:rPr lang="en-US" sz="1100" baseline="0"/>
            <a:t>4) The average kWh/MG for a given 12-month period is the total "counted" kWh divided by the total "counted" MG. (Averaging kWh/MG values is not mathematically accurate.)</a:t>
          </a:r>
        </a:p>
        <a:p>
          <a:r>
            <a:rPr lang="en-US" sz="1100" baseline="0"/>
            <a:t>5) $/MG is calculated in an analogous manner.</a:t>
          </a:r>
        </a:p>
        <a:p>
          <a:endParaRPr lang="en-US" sz="1100" baseline="0"/>
        </a:p>
        <a:p>
          <a:r>
            <a:rPr lang="en-US" sz="1100" b="1" baseline="0"/>
            <a:t>BOD efficiency</a:t>
          </a:r>
          <a:r>
            <a:rPr lang="en-US" sz="1100" baseline="0"/>
            <a:t>:</a:t>
          </a:r>
        </a:p>
        <a:p>
          <a:r>
            <a:rPr lang="en-US" sz="1100" baseline="0"/>
            <a:t>1) Total energy usage is calculated as described above.</a:t>
          </a:r>
        </a:p>
        <a:p>
          <a:r>
            <a:rPr lang="en-US" sz="1100" baseline="0"/>
            <a:t>2) BOD removal in a given month is calculated from the monthly flow, influent BOD and effluent BOD. If one of those three values is missing, BOD removal is not calculated for that month.</a:t>
          </a:r>
        </a:p>
        <a:p>
          <a:r>
            <a:rPr lang="en-US" sz="1100" baseline="0"/>
            <a:t>3) If BOD removal and total energy usage are both populated, an average kWh/lb BOD is calculated for that month, and both the kWh and BOD removal count toward the yearly average. If either value is missing, the other value does not count toward the total for that year.</a:t>
          </a:r>
        </a:p>
        <a:p>
          <a:r>
            <a:rPr lang="en-US" sz="1100" baseline="0"/>
            <a:t>4) The average kWh/lb BOD for a year is the total counted kWh divided by the total counted MG.</a:t>
          </a:r>
        </a:p>
        <a:p>
          <a:r>
            <a:rPr lang="en-US" sz="1100" baseline="0"/>
            <a:t>5) $/lb BOD is calculated in an analogous manner.</a:t>
          </a:r>
        </a:p>
        <a:p>
          <a:endParaRPr lang="en-US" sz="1100" baseline="0"/>
        </a:p>
        <a:p>
          <a:r>
            <a:rPr lang="en-US" sz="1100" b="1" baseline="0"/>
            <a:t>Effluent Total Nitrogen: </a:t>
          </a:r>
          <a:endParaRPr lang="en-US" sz="1100" b="0" baseline="0"/>
        </a:p>
        <a:p>
          <a:r>
            <a:rPr lang="en-US" sz="1100" b="0" baseline="0"/>
            <a:t>1) The graph will display NO2+NO3 and either NH3 or TKN, depending on which parameter (TKN or NH3) has more effluent data associated with it. That is, if NH3 has monthly values and TKN has quarterly values, the graph will automatically display NH3.</a:t>
          </a:r>
        </a:p>
        <a:p>
          <a:r>
            <a:rPr lang="en-US" sz="1100" b="0" baseline="0"/>
            <a:t>2) The values displayed on the graph use all available data to calculate the average for a year, regardless if the data in a given month has corresponding influent data sufficient to estimate nitrogen removal.</a:t>
          </a:r>
        </a:p>
        <a:p>
          <a:endParaRPr lang="en-US" sz="1100" b="0" baseline="0"/>
        </a:p>
        <a:p>
          <a:r>
            <a:rPr lang="en-US" sz="1100" b="1" baseline="0"/>
            <a:t>Nitrogen Removal:</a:t>
          </a:r>
          <a:endParaRPr lang="en-US" sz="1100" b="0" baseline="0"/>
        </a:p>
        <a:p>
          <a:r>
            <a:rPr lang="en-US" sz="1100" b="0" baseline="0"/>
            <a:t>1) For a given month, nitrogen removal will only be estimated if flow, influent TKN, effluent NO3+NO2, and either effluent NH3 or effluent TKN are populated. (Effluent TKN is preferred for accuracy, but because not all facilities routinely monitor it, the tool will estimate removal based on NH3 if necessary.)</a:t>
          </a:r>
        </a:p>
        <a:p>
          <a:r>
            <a:rPr lang="en-US" sz="1100" b="0" baseline="0"/>
            <a:t>2) Annual averages of nitrogen removal (lbs/mo) are calculated based on an average of all months within the year that had sufficient data to estimate nitrogen removal. If data is available less than quarterly, the annual estimate will not be calculated and an "insufficient data" error will be displayed.</a:t>
          </a:r>
        </a:p>
        <a:p>
          <a:endParaRPr lang="en-US" sz="1100" b="0" baseline="0"/>
        </a:p>
        <a:p>
          <a:r>
            <a:rPr lang="en-US" sz="1100" b="1" baseline="0"/>
            <a:t>Phosporus Removal:</a:t>
          </a:r>
        </a:p>
        <a:p>
          <a:r>
            <a:rPr lang="en-US" sz="1100" b="0" baseline="0"/>
            <a:t>1) Influent TP, Effluent TP and flow are required to calculate average removal for a given month.</a:t>
          </a:r>
        </a:p>
        <a:p>
          <a:r>
            <a:rPr lang="en-US" sz="1100" b="0" baseline="0"/>
            <a:t>2) Annual averages are based on calculated monthly removal when sufficient data is available at least quarterly.</a:t>
          </a:r>
        </a:p>
        <a:p>
          <a:endParaRPr lang="en-US" sz="1100" b="0" baseline="0"/>
        </a:p>
        <a:p>
          <a:endParaRPr lang="en-US" sz="1100" b="0" baseline="0"/>
        </a:p>
        <a:p>
          <a:r>
            <a:rPr lang="en-US" sz="1100" b="1" baseline="0"/>
            <a:t>=========</a:t>
          </a:r>
        </a:p>
        <a:p>
          <a:r>
            <a:rPr lang="en-US" sz="1100" b="1" baseline="0">
              <a:solidFill>
                <a:srgbClr val="FF0000"/>
              </a:solidFill>
            </a:rPr>
            <a:t>Note to self: check above to ensure it is still accurate</a:t>
          </a:r>
        </a:p>
        <a:p>
          <a:r>
            <a:rPr lang="en-US" sz="1100" b="1" baseline="0">
              <a:solidFill>
                <a:srgbClr val="FF0000"/>
              </a:solidFill>
            </a:rPr>
            <a:t>Nutrient summary:</a:t>
          </a:r>
          <a:endParaRPr lang="en-US" sz="1100" b="0" baseline="0">
            <a:solidFill>
              <a:srgbClr val="FF0000"/>
            </a:solidFill>
          </a:endParaRPr>
        </a:p>
        <a:p>
          <a:r>
            <a:rPr lang="en-US" sz="1100" b="0" baseline="0">
              <a:solidFill>
                <a:srgbClr val="FF0000"/>
              </a:solidFill>
            </a:rPr>
            <a:t>Influent and effluent values (mg/L) are averages of all available values during the relevant time periods</a:t>
          </a:r>
        </a:p>
        <a:p>
          <a:r>
            <a:rPr lang="en-US" sz="1100" b="0" baseline="0">
              <a:solidFill>
                <a:srgbClr val="FF0000"/>
              </a:solidFill>
            </a:rPr>
            <a:t>Removal (lbs/mo) is an average of all months within a time period that meet match criteria (see above)</a:t>
          </a:r>
        </a:p>
        <a:p>
          <a:r>
            <a:rPr lang="en-US" sz="1100" b="0" baseline="0">
              <a:solidFill>
                <a:srgbClr val="FF0000"/>
              </a:solidFill>
            </a:rPr>
            <a:t>Change in removal compared to baseline is calculated as follows: 1) Multiply average removal (lbs/mo) by # of months with reported flow to obtain total removal for that time period. Difference is reported between the baseline and each year thereafter.  For the current year, the total displayed is to-date (not an annual projection).</a:t>
          </a:r>
        </a:p>
        <a:p>
          <a:endParaRPr lang="en-US" sz="1100" b="1" baseline="0"/>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1</xdr:row>
      <xdr:rowOff>19050</xdr:rowOff>
    </xdr:from>
    <xdr:to>
      <xdr:col>8</xdr:col>
      <xdr:colOff>295275</xdr:colOff>
      <xdr:row>15</xdr:row>
      <xdr:rowOff>95250</xdr:rowOff>
    </xdr:to>
    <xdr:graphicFrame macro="">
      <xdr:nvGraphicFramePr>
        <xdr:cNvPr id="3" name="Chart 1"/>
        <xdr:cNvGraphicFramePr/>
      </xdr:nvGraphicFramePr>
      <xdr:xfrm>
        <a:off x="600075" y="209550"/>
        <a:ext cx="45720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16</xdr:row>
      <xdr:rowOff>38100</xdr:rowOff>
    </xdr:from>
    <xdr:to>
      <xdr:col>8</xdr:col>
      <xdr:colOff>304800</xdr:colOff>
      <xdr:row>30</xdr:row>
      <xdr:rowOff>114300</xdr:rowOff>
    </xdr:to>
    <xdr:graphicFrame macro="">
      <xdr:nvGraphicFramePr>
        <xdr:cNvPr id="4" name="Chart 2"/>
        <xdr:cNvGraphicFramePr/>
      </xdr:nvGraphicFramePr>
      <xdr:xfrm>
        <a:off x="609600" y="3086100"/>
        <a:ext cx="4572000" cy="2743200"/>
      </xdr:xfrm>
      <a:graphic>
        <a:graphicData uri="http://schemas.openxmlformats.org/drawingml/2006/chart">
          <c:chart xmlns:c="http://schemas.openxmlformats.org/drawingml/2006/chart" r:id="rId2"/>
        </a:graphicData>
      </a:graphic>
    </xdr:graphicFrame>
    <xdr:clientData/>
  </xdr:twoCellAnchor>
  <xdr:twoCellAnchor>
    <xdr:from>
      <xdr:col>8</xdr:col>
      <xdr:colOff>390525</xdr:colOff>
      <xdr:row>1</xdr:row>
      <xdr:rowOff>9525</xdr:rowOff>
    </xdr:from>
    <xdr:to>
      <xdr:col>16</xdr:col>
      <xdr:colOff>28575</xdr:colOff>
      <xdr:row>15</xdr:row>
      <xdr:rowOff>85725</xdr:rowOff>
    </xdr:to>
    <xdr:graphicFrame macro="">
      <xdr:nvGraphicFramePr>
        <xdr:cNvPr id="5" name="Chart 4"/>
        <xdr:cNvGraphicFramePr/>
      </xdr:nvGraphicFramePr>
      <xdr:xfrm>
        <a:off x="5267325" y="200025"/>
        <a:ext cx="4514850" cy="2743200"/>
      </xdr:xfrm>
      <a:graphic>
        <a:graphicData uri="http://schemas.openxmlformats.org/drawingml/2006/chart">
          <c:chart xmlns:c="http://schemas.openxmlformats.org/drawingml/2006/chart" r:id="rId3"/>
        </a:graphicData>
      </a:graphic>
    </xdr:graphicFrame>
    <xdr:clientData/>
  </xdr:twoCellAnchor>
  <xdr:twoCellAnchor>
    <xdr:from>
      <xdr:col>8</xdr:col>
      <xdr:colOff>409575</xdr:colOff>
      <xdr:row>16</xdr:row>
      <xdr:rowOff>28575</xdr:rowOff>
    </xdr:from>
    <xdr:to>
      <xdr:col>16</xdr:col>
      <xdr:colOff>133350</xdr:colOff>
      <xdr:row>30</xdr:row>
      <xdr:rowOff>104775</xdr:rowOff>
    </xdr:to>
    <xdr:graphicFrame macro="">
      <xdr:nvGraphicFramePr>
        <xdr:cNvPr id="6" name="Chart 8"/>
        <xdr:cNvGraphicFramePr/>
      </xdr:nvGraphicFramePr>
      <xdr:xfrm>
        <a:off x="5286375" y="3076575"/>
        <a:ext cx="4600575" cy="2743200"/>
      </xdr:xfrm>
      <a:graphic>
        <a:graphicData uri="http://schemas.openxmlformats.org/drawingml/2006/chart">
          <c:chart xmlns:c="http://schemas.openxmlformats.org/drawingml/2006/chart" r:id="rId4"/>
        </a:graphicData>
      </a:graphic>
    </xdr:graphicFrame>
    <xdr:clientData/>
  </xdr:twoCellAnchor>
</xdr:wsDr>
</file>

<file path=xl/tables/table1.xml><?xml version="1.0" encoding="utf-8"?>
<table xmlns="http://schemas.openxmlformats.org/spreadsheetml/2006/main" id="1" name="Table3" displayName="Table3" ref="B24:AA108" totalsRowShown="0" headerRowDxfId="63" dataDxfId="62">
  <autoFilter ref="B24:AA108"/>
  <sortState ref="B25:AA109">
    <sortCondition sortBy="value" ref="B25:B109"/>
  </sortState>
  <tableColumns count="26">
    <tableColumn id="1" name="MONTH_x000A_(Auto-filled)_x000A_" dataDxfId="61">
      <calculatedColumnFormula>DATE(YEAR(D$11),MONTH(D$11)-2,DAY(D$11))</calculatedColumnFormula>
    </tableColumn>
    <tableColumn id="3" name="MONTHLY ELECTRIC USE (kWh)" dataDxfId="60"/>
    <tableColumn id="4" name="TOTAL ELECTRIC BILL (incl. demand, taxes, etc.) ($)" dataDxfId="59"/>
    <tableColumn id="20" name="Actual kW Demand (if available)" dataDxfId="58"/>
    <tableColumn id="12" name="Billed kW Demand (if available)" dataDxfId="57"/>
    <tableColumn id="5" name="DEMAND COST_x000A_ (If known, else leave blank)" dataDxfId="56"/>
    <tableColumn id="6" name="MONTHLY kWh used #2" dataDxfId="55"/>
    <tableColumn id="7" name="Total Electric Bill (incl. demand, taxes, etc.) ($) #2" dataDxfId="54"/>
    <tableColumn id="19" name="Actual kW Demand #2 (if available)" dataDxfId="53"/>
    <tableColumn id="21" name="Billed kW Demand #2 (if available) " dataDxfId="52"/>
    <tableColumn id="8" name="DEMAND COST #2_x000A_(if known, else leave blank)" dataDxfId="51"/>
    <tableColumn id="9" name="MONTHLY kWh used #3" dataDxfId="50"/>
    <tableColumn id="10" name="Total Electric Bill (incl. demand, taxes, etc.) ($) #3" dataDxfId="49"/>
    <tableColumn id="23" name="Actual kW Demand #3 (if available)" dataDxfId="48"/>
    <tableColumn id="22" name="Billed kW Demand #3 (if available)" dataDxfId="47"/>
    <tableColumn id="11" name="DEMAND COST #3_x000A_(if known, else leave blank)" dataDxfId="46"/>
    <tableColumn id="13" name="MONTHLY kWh used #4" dataDxfId="45"/>
    <tableColumn id="25" name="Total Electric Bill (incl. demand, taxes, etc.) ($) #4" dataDxfId="44"/>
    <tableColumn id="24" name="Actual kW Demand #4 (if available)" dataDxfId="43"/>
    <tableColumn id="14" name="Billed kW Demand #4 (if available) " dataDxfId="42"/>
    <tableColumn id="15" name="DEMAND COST #4_x000A_(if known, else leave blank)" dataDxfId="41"/>
    <tableColumn id="16" name="MONTHLY kWh used #5" dataDxfId="40"/>
    <tableColumn id="28" name="Total Electric Bill (incl. demand, taxes, etc.) ($) #5" dataDxfId="39"/>
    <tableColumn id="27" name="Actual kW Demand #5 (if available)" dataDxfId="38"/>
    <tableColumn id="17" name="Billed kW Demand #5 (if available) " dataDxfId="37"/>
    <tableColumn id="18" name="DEMAND COST #5_x000A_(if known, else leave blank)" dataDxfId="36"/>
  </tableColumns>
  <tableStyleInfo name="TableStyleMedium9" showFirstColumn="0" showLastColumn="0" showRowStripes="1" showColumnStripes="0"/>
</table>
</file>

<file path=xl/tables/table2.xml><?xml version="1.0" encoding="utf-8"?>
<table xmlns="http://schemas.openxmlformats.org/spreadsheetml/2006/main" id="2" name="Table5" displayName="Table5" ref="AD24:AG108" totalsRowShown="0" headerRowDxfId="35" dataDxfId="33" headerRowBorderDxfId="34">
  <tableColumns count="4">
    <tableColumn id="1" name="MONTH" dataDxfId="32">
      <calculatedColumnFormula>Table3[[#This Row],[MONTH
(Auto-filled)
]]</calculatedColumnFormula>
    </tableColumn>
    <tableColumn id="2" name="Gas usage (ccf or therms)" dataDxfId="31"/>
    <tableColumn id="3" name="Total gas cost ($)" dataDxfId="30"/>
    <tableColumn id="4" name="Gas energy usage in kWh" dataDxfId="29">
      <calculatedColumnFormula>IF(Table5[[#This Row],[Gas usage (ccf or therms)]]=0,0,29.31*Table5[[#This Row],[Gas usage (ccf or therms)]])</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3" name="Table4" displayName="Table4" ref="A3:AH87" totalsRowShown="0" headerRowDxfId="28">
  <autoFilter ref="A3:AH87"/>
  <tableColumns count="34">
    <tableColumn id="1" name="Year" dataDxfId="27"/>
    <tableColumn id="2" name="Column2" dataDxfId="26">
      <calculatedColumnFormula>'Energy Data Entry'!B24</calculatedColumnFormula>
    </tableColumn>
    <tableColumn id="3" name="Avg Daily Flow" dataDxfId="25">
      <calculatedColumnFormula>IF(OR('Process Data Entry'!C6="",'Process Data Entry'!C6=0),"",'Process Data Entry'!C6)</calculatedColumnFormula>
    </tableColumn>
    <tableColumn id="4" name="Monthly Flow" dataDxfId="24">
      <calculatedColumnFormula>IF(Table4[[#This Row],[Avg Daily Flow]]="","",_xlfn.DAYS(EOMONTH(B4,0),EOMONTH(B4,-1))*C4)</calculatedColumnFormula>
    </tableColumn>
    <tableColumn id="5" name="BOD removed" dataDxfId="23">
      <calculatedColumnFormula>IF('Process Data Entry'!F6="","",'Process Data Entry'!F6)</calculatedColumnFormula>
    </tableColumn>
    <tableColumn id="6" name="Total BOD removed" dataDxfId="22">
      <calculatedColumnFormula>IF(Table4[[#This Row],[BOD removed]]="","",Table4[[#This Row],[BOD removed]]*_xlfn.DAYS(EOMONTH(Table4[[#This Row],[Column2]],0),EOMONTH(Table4[[#This Row],[Column2]],-1)))</calculatedColumnFormula>
    </tableColumn>
    <tableColumn id="7" name="Electric kWh usage" dataDxfId="21">
      <calculatedColumnFormula>IF(SUM('Energy Data Entry'!C25,'Energy Data Entry'!H25,'Energy Data Entry'!M25,'Energy Data Entry'!R25,'Energy Data Entry'!W25)=0,"",SUM('Energy Data Entry'!C25,'Energy Data Entry'!H25,'Energy Data Entry'!M25,'Energy Data Entry'!R25,'Energy Data Entry'!W25))</calculatedColumnFormula>
    </tableColumn>
    <tableColumn id="8" name="Gas kWh usage" dataDxfId="20">
      <calculatedColumnFormula>'Energy Data Entry'!AG24</calculatedColumnFormula>
    </tableColumn>
    <tableColumn id="31" name="Total Energy Usage" dataDxfId="19">
      <calculatedColumnFormula>IF(Table4[[#This Row],[Electric kWh usage]]="","",Table4[[#This Row],[Gas kWh usage]]+Table4[[#This Row],[Electric kWh usage]])</calculatedColumnFormula>
    </tableColumn>
    <tableColumn id="10" name="Flow Efficiency" dataDxfId="18">
      <calculatedColumnFormula>IF(OR(Table4[[#This Row],[Electric kWh usage]]="",Table4[[#This Row],[Monthly Flow]]=""),"",(Table4[[#This Row],[Electric kWh usage]]+Table4[[#This Row],[Gas kWh usage]])/Table4[[#This Row],[Monthly Flow]])</calculatedColumnFormula>
    </tableColumn>
    <tableColumn id="11" name="BOD efficiency" dataDxfId="17">
      <calculatedColumnFormula>IFERROR(IF(Table4[[#This Row],[Electric kWh usage]]="","",(Table4[[#This Row],[Electric kWh usage]]+Table4[[#This Row],[Gas kWh usage]])/Table4[[#This Row],[Total BOD removed]]),"")</calculatedColumnFormula>
    </tableColumn>
    <tableColumn id="9" name="Total Electric Demand (Actual)" dataDxfId="16">
      <calculatedColumnFormula>IF('Energy Data Entry'!E25+'Energy Data Entry'!J25+'Energy Data Entry'!O25+'Energy Data Entry'!T25+'Energy Data Entry'!Y25=0,"",'Energy Data Entry'!E25+'Energy Data Entry'!J25+'Energy Data Entry'!O25+'Energy Data Entry'!T25+'Energy Data Entry'!Y25)</calculatedColumnFormula>
    </tableColumn>
    <tableColumn id="12" name="Total Electric Demand (Billed)" dataDxfId="15">
      <calculatedColumnFormula>IF('Energy Data Entry'!F25+'Energy Data Entry'!K25+'Energy Data Entry'!P25++'Energy Data Entry'!U25+'Energy Data Entry'!Z25=0,"",'Energy Data Entry'!F25+'Energy Data Entry'!K25+'Energy Data Entry'!P25++'Energy Data Entry'!U25+'Energy Data Entry'!Z25)</calculatedColumnFormula>
    </tableColumn>
    <tableColumn id="13" name="Electric Demand Cost" dataDxfId="14">
      <calculatedColumnFormula>'Energy Data Entry'!G24+'Energy Data Entry'!L24+'Energy Data Entry'!Q24+'Energy Data Entry'!V24+'Energy Data Entry'!AA24</calculatedColumnFormula>
    </tableColumn>
    <tableColumn id="14" name="Total electric cost" dataDxfId="13">
      <calculatedColumnFormula>IF('Energy Data Entry'!D25+'Energy Data Entry'!I25+'Energy Data Entry'!N25+'Energy Data Entry'!S25+'Energy Data Entry'!X25=0,"",'Energy Data Entry'!D25+'Energy Data Entry'!I25+'Energy Data Entry'!N25+'Energy Data Entry'!S25+'Energy Data Entry'!X25)</calculatedColumnFormula>
    </tableColumn>
    <tableColumn id="15" name="Total Gas cost" dataDxfId="12">
      <calculatedColumnFormula>'Energy Data Entry'!AF24</calculatedColumnFormula>
    </tableColumn>
    <tableColumn id="32" name="Avg $/kWh" dataDxfId="11">
      <calculatedColumnFormula>IFERROR(Table4[[#This Row],[Total electric cost]]/Table4[[#This Row],[Electric kWh usage]],"")</calculatedColumnFormula>
    </tableColumn>
    <tableColumn id="34" name="Avg $/kW demand" dataDxfId="10">
      <calculatedColumnFormula>IFERROR(Table4[[#This Row],[Electric Demand Cost]]/Table4[[#This Row],[Total Electric Demand (Billed)]],IFERROR(Table4[[#This Row],[Electric Demand Cost]]/Table4[[#This Row],[Total Electric Demand (Actual)]],""))</calculatedColumnFormula>
    </tableColumn>
    <tableColumn id="16" name="Total Energy Cost" dataDxfId="9">
      <calculatedColumnFormula>IFERROR(Table4[[#This Row],[Total Gas cost]]+Table4[[#This Row],[Total electric cost]],"")</calculatedColumnFormula>
    </tableColumn>
    <tableColumn id="17" name="Column6" dataDxfId="8"/>
    <tableColumn id="18" name="Energy Cost per Volume Treated" dataDxfId="7">
      <calculatedColumnFormula>IFERROR(Table4[[#This Row],[Total Energy Cost]]/Table4[[#This Row],[Monthly Flow]],"")</calculatedColumnFormula>
    </tableColumn>
    <tableColumn id="19" name="Energy Cost per lb BOD" dataDxfId="6">
      <calculatedColumnFormula>IFERROR(Table4[[#This Row],[Total Energy Cost]]/Table4[[#This Row],[Total BOD removed]],"")</calculatedColumnFormula>
    </tableColumn>
    <tableColumn id="20" name="Column7" dataDxfId="5"/>
    <tableColumn id="21" name="Avg influent TKN">
      <calculatedColumnFormula>IF('Process Data Entry'!G5="","",'Process Data Entry'!G5)</calculatedColumnFormula>
    </tableColumn>
    <tableColumn id="22" name="Avg influent NH3">
      <calculatedColumnFormula>IF('Process Data Entry'!H5="","",'Process Data Entry'!H5)</calculatedColumnFormula>
    </tableColumn>
    <tableColumn id="23" name="Avg influent NOx">
      <calculatedColumnFormula>IF('Process Data Entry'!I6="",0,'Process Data Entry'!I6)</calculatedColumnFormula>
    </tableColumn>
    <tableColumn id="24" name="Avg effluent TKN">
      <calculatedColumnFormula>IF('Process Data Entry'!J5="","",'Process Data Entry'!J5)</calculatedColumnFormula>
    </tableColumn>
    <tableColumn id="25" name="Avg effluent NH3">
      <calculatedColumnFormula>IF('Process Data Entry'!K5="","",'Process Data Entry'!K5)</calculatedColumnFormula>
    </tableColumn>
    <tableColumn id="26" name="Avg effluent NOx">
      <calculatedColumnFormula>IF('Process Data Entry'!L5="","",'Process Data Entry'!L5)</calculatedColumnFormula>
    </tableColumn>
    <tableColumn id="27" name="Approx TN removal (mg/L)" dataDxfId="4">
      <calculatedColumnFormula>IFERROR(IF(OR(X4="",AC4="",AND(AA4="",AB4=""),((X4+Z4)-(MAX(AA4,AB4)+AC4))&lt;0),"",(X4+Z4)-(MAX(AA4,AB4)+AC4)),"")</calculatedColumnFormula>
    </tableColumn>
    <tableColumn id="33" name="Approx TN removal (lbs)" dataDxfId="3">
      <calculatedColumnFormula>IF(OR(AD4="",D4=""),"",AD4*D4*8.34)</calculatedColumnFormula>
    </tableColumn>
    <tableColumn id="28" name="Avg influent TP" dataDxfId="2">
      <calculatedColumnFormula>IF('Process Data Entry'!M6="","",'Process Data Entry'!M6)</calculatedColumnFormula>
    </tableColumn>
    <tableColumn id="29" name="Avg effluent TP" dataDxfId="1">
      <calculatedColumnFormula>IF('Process Data Entry'!N6="","",'Process Data Entry'!N6)</calculatedColumnFormula>
    </tableColumn>
    <tableColumn id="30" name="Calculated TP removal (lbs)" dataDxfId="0">
      <calculatedColumnFormula>IF(OR(AF4="",AG4="",D4=""),"",8.34*D4*(AF4-AG4))</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6" Type="http://schemas.openxmlformats.org/officeDocument/2006/relationships/control" Target="../activeX/activeX2.xml" /><Relationship Id="rId4" Type="http://schemas.openxmlformats.org/officeDocument/2006/relationships/control" Target="../activeX/activeX1.xml" /><Relationship Id="rId10" Type="http://schemas.openxmlformats.org/officeDocument/2006/relationships/control" Target="../activeX/activeX4.xml" /><Relationship Id="rId8" Type="http://schemas.openxmlformats.org/officeDocument/2006/relationships/control" Target="../activeX/activeX3.xml" /><Relationship Id="rId11" Type="http://schemas.openxmlformats.org/officeDocument/2006/relationships/image" Target="../media/image4.emf" /><Relationship Id="rId5" Type="http://schemas.openxmlformats.org/officeDocument/2006/relationships/image" Target="../media/image1.emf" /><Relationship Id="rId7" Type="http://schemas.openxmlformats.org/officeDocument/2006/relationships/image" Target="../media/image2.emf" /><Relationship Id="rId9" Type="http://schemas.openxmlformats.org/officeDocument/2006/relationships/image" Target="../media/image3.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control" Target="../activeX/activeX3.xml" /><Relationship Id="rId12" Type="http://schemas.openxmlformats.org/officeDocument/2006/relationships/control" Target="../activeX/activeX4.xml" /><Relationship Id="rId13" Type="http://schemas.openxmlformats.org/officeDocument/2006/relationships/vmlDrawing" Target="../drawings/vmlDrawing1.vml" /><Relationship Id="rId14" Type="http://schemas.openxmlformats.org/officeDocument/2006/relationships/table" Target="../tables/table1.xml" /><Relationship Id="rId15" Type="http://schemas.openxmlformats.org/officeDocument/2006/relationships/table" Target="../tables/table2.xml" /><Relationship Id="rId16" Type="http://schemas.openxmlformats.org/officeDocument/2006/relationships/drawing" Target="../drawings/drawing1.xml" /><Relationship Id="rId1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8.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2BF1A-A2CB-4451-8B3B-2594551BD99E}">
  <sheetPr codeName="Sheet4">
    <tabColor rgb="FFFFFF00"/>
    <pageSetUpPr fitToPage="1"/>
  </sheetPr>
  <dimension ref="A2:J41"/>
  <sheetViews>
    <sheetView tabSelected="1" zoomScale="80" zoomScaleNormal="80" workbookViewId="0" topLeftCell="A1">
      <selection activeCell="B6" sqref="B6:H8"/>
    </sheetView>
  </sheetViews>
  <sheetFormatPr defaultColWidth="9.28125" defaultRowHeight="15"/>
  <cols>
    <col min="1" max="1" width="5.00390625" style="3" customWidth="1"/>
    <col min="2" max="2" width="20.7109375" style="3" customWidth="1"/>
    <col min="3" max="7" width="18.7109375" style="3" customWidth="1"/>
    <col min="8" max="8" width="38.57421875" style="3" customWidth="1"/>
    <col min="9" max="10" width="18.7109375" style="3" customWidth="1"/>
    <col min="11" max="16384" width="9.28125" style="3" customWidth="1"/>
  </cols>
  <sheetData>
    <row r="1" ht="9" customHeight="1" thickBot="1"/>
    <row r="2" spans="1:10" ht="20.15" customHeight="1">
      <c r="A2" s="1"/>
      <c r="B2" s="510" t="s">
        <v>210</v>
      </c>
      <c r="C2" s="511"/>
      <c r="D2" s="511"/>
      <c r="E2" s="511"/>
      <c r="F2" s="511"/>
      <c r="G2" s="511"/>
      <c r="H2" s="512"/>
      <c r="I2" s="2"/>
      <c r="J2" s="2"/>
    </row>
    <row r="3" spans="1:10" ht="20.15" customHeight="1">
      <c r="A3" s="4"/>
      <c r="B3" s="513"/>
      <c r="C3" s="514"/>
      <c r="D3" s="514"/>
      <c r="E3" s="514"/>
      <c r="F3" s="514"/>
      <c r="G3" s="514"/>
      <c r="H3" s="515"/>
      <c r="I3" s="2"/>
      <c r="J3" s="2"/>
    </row>
    <row r="4" spans="1:10" ht="25.9" customHeight="1" thickBot="1">
      <c r="A4" s="4"/>
      <c r="B4" s="516"/>
      <c r="C4" s="517"/>
      <c r="D4" s="517"/>
      <c r="E4" s="517"/>
      <c r="F4" s="517"/>
      <c r="G4" s="517"/>
      <c r="H4" s="518"/>
      <c r="I4" s="2"/>
      <c r="J4" s="2"/>
    </row>
    <row r="5" ht="15" thickBot="1"/>
    <row r="6" spans="1:8" ht="18" customHeight="1">
      <c r="A6" s="5"/>
      <c r="B6" s="522" t="s">
        <v>217</v>
      </c>
      <c r="C6" s="523"/>
      <c r="D6" s="523"/>
      <c r="E6" s="523"/>
      <c r="F6" s="523"/>
      <c r="G6" s="523"/>
      <c r="H6" s="524"/>
    </row>
    <row r="7" spans="1:8" ht="18" customHeight="1">
      <c r="A7" s="6"/>
      <c r="B7" s="525"/>
      <c r="C7" s="526"/>
      <c r="D7" s="526"/>
      <c r="E7" s="526"/>
      <c r="F7" s="526"/>
      <c r="G7" s="526"/>
      <c r="H7" s="527"/>
    </row>
    <row r="8" spans="2:8" ht="76.5" customHeight="1" thickBot="1">
      <c r="B8" s="528"/>
      <c r="C8" s="529"/>
      <c r="D8" s="529"/>
      <c r="E8" s="529"/>
      <c r="F8" s="529"/>
      <c r="G8" s="529"/>
      <c r="H8" s="530"/>
    </row>
    <row r="9" spans="2:8" ht="18" customHeight="1">
      <c r="B9" s="162"/>
      <c r="C9" s="162"/>
      <c r="D9" s="162"/>
      <c r="E9" s="162"/>
      <c r="F9" s="162"/>
      <c r="G9" s="162"/>
      <c r="H9" s="162"/>
    </row>
    <row r="10" spans="1:3" ht="18" customHeight="1" thickBot="1">
      <c r="A10" s="7"/>
      <c r="B10" s="7"/>
      <c r="C10" s="7"/>
    </row>
    <row r="11" spans="1:8" ht="20.15" customHeight="1" thickBot="1">
      <c r="A11" s="7"/>
      <c r="B11" s="519" t="s">
        <v>112</v>
      </c>
      <c r="C11" s="520"/>
      <c r="D11" s="520"/>
      <c r="E11" s="520"/>
      <c r="F11" s="472"/>
      <c r="G11" s="472"/>
      <c r="H11" s="473"/>
    </row>
    <row r="12" spans="1:8" ht="20.15" customHeight="1">
      <c r="A12" s="7"/>
      <c r="B12" s="521" t="s">
        <v>202</v>
      </c>
      <c r="C12" s="496"/>
      <c r="D12" s="496"/>
      <c r="E12" s="496"/>
      <c r="F12" s="496"/>
      <c r="G12" s="496"/>
      <c r="H12" s="497"/>
    </row>
    <row r="13" spans="1:8" ht="20.15" customHeight="1">
      <c r="A13" s="7"/>
      <c r="B13" s="495"/>
      <c r="C13" s="496"/>
      <c r="D13" s="496"/>
      <c r="E13" s="496"/>
      <c r="F13" s="496"/>
      <c r="G13" s="496"/>
      <c r="H13" s="497"/>
    </row>
    <row r="14" spans="1:8" ht="20.15" customHeight="1">
      <c r="A14" s="7"/>
      <c r="B14" s="495"/>
      <c r="C14" s="496"/>
      <c r="D14" s="496"/>
      <c r="E14" s="496"/>
      <c r="F14" s="496"/>
      <c r="G14" s="496"/>
      <c r="H14" s="497"/>
    </row>
    <row r="15" spans="1:8" ht="266.25" customHeight="1" thickBot="1">
      <c r="A15" s="7"/>
      <c r="B15" s="498"/>
      <c r="C15" s="499"/>
      <c r="D15" s="499"/>
      <c r="E15" s="499"/>
      <c r="F15" s="499"/>
      <c r="G15" s="499"/>
      <c r="H15" s="500"/>
    </row>
    <row r="16" spans="1:5" ht="18.75" customHeight="1" thickBot="1">
      <c r="A16" s="7"/>
      <c r="B16" s="8"/>
      <c r="C16" s="8"/>
      <c r="D16" s="8"/>
      <c r="E16" s="8"/>
    </row>
    <row r="17" spans="1:8" ht="18.75" customHeight="1" thickBot="1">
      <c r="A17" s="7"/>
      <c r="B17" s="470" t="s">
        <v>113</v>
      </c>
      <c r="C17" s="471"/>
      <c r="D17" s="474"/>
      <c r="E17" s="472"/>
      <c r="F17" s="472"/>
      <c r="G17" s="472"/>
      <c r="H17" s="473"/>
    </row>
    <row r="18" spans="1:8" ht="24.75" customHeight="1">
      <c r="A18" s="7"/>
      <c r="B18" s="492" t="s">
        <v>203</v>
      </c>
      <c r="C18" s="493"/>
      <c r="D18" s="493"/>
      <c r="E18" s="493"/>
      <c r="F18" s="493"/>
      <c r="G18" s="493"/>
      <c r="H18" s="494"/>
    </row>
    <row r="19" spans="1:8" ht="20.15" customHeight="1">
      <c r="A19" s="7"/>
      <c r="B19" s="495"/>
      <c r="C19" s="496"/>
      <c r="D19" s="496"/>
      <c r="E19" s="496"/>
      <c r="F19" s="496"/>
      <c r="G19" s="496"/>
      <c r="H19" s="497"/>
    </row>
    <row r="20" spans="1:8" ht="20.15" customHeight="1">
      <c r="A20" s="7"/>
      <c r="B20" s="495"/>
      <c r="C20" s="496"/>
      <c r="D20" s="496"/>
      <c r="E20" s="496"/>
      <c r="F20" s="496"/>
      <c r="G20" s="496"/>
      <c r="H20" s="497"/>
    </row>
    <row r="21" spans="1:8" ht="20.15" customHeight="1">
      <c r="A21" s="7"/>
      <c r="B21" s="495"/>
      <c r="C21" s="496"/>
      <c r="D21" s="496"/>
      <c r="E21" s="496"/>
      <c r="F21" s="496"/>
      <c r="G21" s="496"/>
      <c r="H21" s="497"/>
    </row>
    <row r="22" spans="1:8" ht="20.15" customHeight="1">
      <c r="A22" s="7"/>
      <c r="B22" s="495"/>
      <c r="C22" s="496"/>
      <c r="D22" s="496"/>
      <c r="E22" s="496"/>
      <c r="F22" s="496"/>
      <c r="G22" s="496"/>
      <c r="H22" s="497"/>
    </row>
    <row r="23" spans="1:8" ht="20.15" customHeight="1">
      <c r="A23" s="7"/>
      <c r="B23" s="495"/>
      <c r="C23" s="496"/>
      <c r="D23" s="496"/>
      <c r="E23" s="496"/>
      <c r="F23" s="496"/>
      <c r="G23" s="496"/>
      <c r="H23" s="497"/>
    </row>
    <row r="24" spans="1:8" ht="20.15" customHeight="1">
      <c r="A24" s="7"/>
      <c r="B24" s="495"/>
      <c r="C24" s="496"/>
      <c r="D24" s="496"/>
      <c r="E24" s="496"/>
      <c r="F24" s="496"/>
      <c r="G24" s="496"/>
      <c r="H24" s="497"/>
    </row>
    <row r="25" spans="1:8" ht="20.15" customHeight="1">
      <c r="A25" s="7"/>
      <c r="B25" s="495"/>
      <c r="C25" s="496"/>
      <c r="D25" s="496"/>
      <c r="E25" s="496"/>
      <c r="F25" s="496"/>
      <c r="G25" s="496"/>
      <c r="H25" s="497"/>
    </row>
    <row r="26" spans="2:8" ht="20.15" customHeight="1">
      <c r="B26" s="495"/>
      <c r="C26" s="496"/>
      <c r="D26" s="496"/>
      <c r="E26" s="496"/>
      <c r="F26" s="496"/>
      <c r="G26" s="496"/>
      <c r="H26" s="497"/>
    </row>
    <row r="27" spans="2:8" ht="20.15" customHeight="1">
      <c r="B27" s="495"/>
      <c r="C27" s="496"/>
      <c r="D27" s="496"/>
      <c r="E27" s="496"/>
      <c r="F27" s="496"/>
      <c r="G27" s="496"/>
      <c r="H27" s="497"/>
    </row>
    <row r="28" spans="2:8" ht="20.15" customHeight="1">
      <c r="B28" s="495"/>
      <c r="C28" s="496"/>
      <c r="D28" s="496"/>
      <c r="E28" s="496"/>
      <c r="F28" s="496"/>
      <c r="G28" s="496"/>
      <c r="H28" s="497"/>
    </row>
    <row r="29" spans="2:8" ht="15" customHeight="1">
      <c r="B29" s="495"/>
      <c r="C29" s="496"/>
      <c r="D29" s="496"/>
      <c r="E29" s="496"/>
      <c r="F29" s="496"/>
      <c r="G29" s="496"/>
      <c r="H29" s="497"/>
    </row>
    <row r="30" spans="2:8" ht="10.5" customHeight="1">
      <c r="B30" s="495"/>
      <c r="C30" s="496"/>
      <c r="D30" s="496"/>
      <c r="E30" s="496"/>
      <c r="F30" s="496"/>
      <c r="G30" s="496"/>
      <c r="H30" s="497"/>
    </row>
    <row r="31" spans="2:8" ht="16" customHeight="1" thickBot="1">
      <c r="B31" s="498"/>
      <c r="C31" s="499"/>
      <c r="D31" s="499"/>
      <c r="E31" s="499"/>
      <c r="F31" s="499"/>
      <c r="G31" s="499"/>
      <c r="H31" s="500"/>
    </row>
    <row r="32" spans="2:8" ht="21.75" customHeight="1" thickBot="1">
      <c r="B32" s="362"/>
      <c r="C32" s="362"/>
      <c r="D32" s="362"/>
      <c r="E32" s="362"/>
      <c r="F32" s="362"/>
      <c r="G32" s="362"/>
      <c r="H32" s="362"/>
    </row>
    <row r="33" spans="2:8" ht="18.75" customHeight="1" thickBot="1">
      <c r="B33" s="470" t="s">
        <v>204</v>
      </c>
      <c r="C33" s="468"/>
      <c r="D33" s="468"/>
      <c r="E33" s="468"/>
      <c r="F33" s="468"/>
      <c r="G33" s="468"/>
      <c r="H33" s="469"/>
    </row>
    <row r="34" spans="2:8" ht="270.75" customHeight="1" thickBot="1">
      <c r="B34" s="531" t="s">
        <v>205</v>
      </c>
      <c r="C34" s="532"/>
      <c r="D34" s="532"/>
      <c r="E34" s="532"/>
      <c r="F34" s="532"/>
      <c r="G34" s="532"/>
      <c r="H34" s="533"/>
    </row>
    <row r="35" spans="2:8" ht="20.25" customHeight="1" thickBot="1">
      <c r="B35" s="362"/>
      <c r="C35" s="362"/>
      <c r="D35" s="362"/>
      <c r="E35" s="362"/>
      <c r="F35" s="362"/>
      <c r="G35" s="362"/>
      <c r="H35" s="363"/>
    </row>
    <row r="36" spans="2:8" ht="20.25" customHeight="1" thickBot="1">
      <c r="B36" s="470" t="s">
        <v>207</v>
      </c>
      <c r="C36" s="468"/>
      <c r="D36" s="468"/>
      <c r="E36" s="468"/>
      <c r="F36" s="468"/>
      <c r="G36" s="468"/>
      <c r="H36" s="469"/>
    </row>
    <row r="37" spans="2:8" ht="150.75" customHeight="1" thickBot="1">
      <c r="B37" s="531" t="s">
        <v>209</v>
      </c>
      <c r="C37" s="532"/>
      <c r="D37" s="532"/>
      <c r="E37" s="532"/>
      <c r="F37" s="532"/>
      <c r="G37" s="532"/>
      <c r="H37" s="533"/>
    </row>
    <row r="38" spans="2:8" ht="18.75" customHeight="1" thickBot="1">
      <c r="B38" s="364"/>
      <c r="C38" s="159"/>
      <c r="D38" s="159"/>
      <c r="E38" s="159"/>
      <c r="F38" s="159"/>
      <c r="G38" s="159"/>
      <c r="H38" s="160"/>
    </row>
    <row r="39" spans="1:8" ht="54.75" customHeight="1" thickBot="1">
      <c r="A39" s="9"/>
      <c r="B39" s="501" t="s">
        <v>208</v>
      </c>
      <c r="C39" s="502"/>
      <c r="D39" s="502"/>
      <c r="E39" s="502"/>
      <c r="F39" s="502"/>
      <c r="G39" s="502"/>
      <c r="H39" s="503"/>
    </row>
    <row r="40" spans="1:8" ht="26.25" customHeight="1">
      <c r="A40" s="10"/>
      <c r="B40" s="504" t="s">
        <v>206</v>
      </c>
      <c r="C40" s="505"/>
      <c r="D40" s="505"/>
      <c r="E40" s="505"/>
      <c r="F40" s="505"/>
      <c r="G40" s="505"/>
      <c r="H40" s="506"/>
    </row>
    <row r="41" spans="2:8" ht="21.75" customHeight="1" thickBot="1">
      <c r="B41" s="507"/>
      <c r="C41" s="508"/>
      <c r="D41" s="508"/>
      <c r="E41" s="508"/>
      <c r="F41" s="508"/>
      <c r="G41" s="508"/>
      <c r="H41" s="509"/>
    </row>
  </sheetData>
  <mergeCells count="9">
    <mergeCell ref="B18:H31"/>
    <mergeCell ref="B39:H39"/>
    <mergeCell ref="B40:H41"/>
    <mergeCell ref="B2:H4"/>
    <mergeCell ref="B11:E11"/>
    <mergeCell ref="B12:H15"/>
    <mergeCell ref="B6:H8"/>
    <mergeCell ref="B34:H34"/>
    <mergeCell ref="B37:H37"/>
  </mergeCells>
  <printOptions/>
  <pageMargins left="0.39" right="0.39" top="0.49" bottom="0.45" header="0.3" footer="0.3"/>
  <pageSetup fitToHeight="0" fitToWidth="1" horizontalDpi="600" verticalDpi="600" orientation="landscape" scale="86"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2A969-139B-447F-94E0-474CC3F6C7F4}">
  <sheetPr codeName="Sheet1">
    <tabColor rgb="FFFF0000"/>
  </sheetPr>
  <dimension ref="B1:AG109"/>
  <sheetViews>
    <sheetView zoomScale="70" zoomScaleNormal="70" workbookViewId="0" topLeftCell="A19">
      <selection activeCell="AE25" sqref="AE25"/>
    </sheetView>
  </sheetViews>
  <sheetFormatPr defaultColWidth="9.28125" defaultRowHeight="15"/>
  <cols>
    <col min="1" max="1" width="1.57421875" style="3" customWidth="1"/>
    <col min="2" max="2" width="25.7109375" style="3" customWidth="1"/>
    <col min="3" max="6" width="21.7109375" style="3" customWidth="1"/>
    <col min="7" max="7" width="24.140625" style="3" customWidth="1"/>
    <col min="8" max="8" width="21.57421875" style="3" hidden="1" customWidth="1"/>
    <col min="9" max="27" width="21.57421875" style="19" hidden="1" customWidth="1"/>
    <col min="28" max="28" width="7.140625" style="3" customWidth="1"/>
    <col min="29" max="29" width="6.8515625" style="3" customWidth="1"/>
    <col min="30" max="30" width="17.421875" style="3" bestFit="1" customWidth="1"/>
    <col min="31" max="31" width="24.7109375" style="3" customWidth="1"/>
    <col min="32" max="32" width="18.00390625" style="3" customWidth="1"/>
    <col min="33" max="33" width="18.7109375" style="3" customWidth="1"/>
    <col min="34" max="34" width="21.28125" style="3" customWidth="1"/>
    <col min="35" max="16384" width="9.28125" style="3" customWidth="1"/>
  </cols>
  <sheetData>
    <row r="1" spans="2:27" ht="23.25" customHeight="1" thickTop="1">
      <c r="B1" s="577" t="s">
        <v>0</v>
      </c>
      <c r="C1" s="578"/>
      <c r="D1" s="578"/>
      <c r="E1" s="578"/>
      <c r="F1" s="578"/>
      <c r="G1" s="578"/>
      <c r="H1" s="579"/>
      <c r="I1" s="11"/>
      <c r="J1" s="12"/>
      <c r="K1" s="12"/>
      <c r="L1" s="12"/>
      <c r="M1" s="12"/>
      <c r="N1" s="12"/>
      <c r="O1" s="12"/>
      <c r="P1" s="12"/>
      <c r="Q1" s="12"/>
      <c r="R1" s="12"/>
      <c r="S1" s="12"/>
      <c r="T1" s="12"/>
      <c r="U1" s="12"/>
      <c r="V1" s="12"/>
      <c r="W1" s="12"/>
      <c r="X1" s="12"/>
      <c r="Y1" s="12"/>
      <c r="Z1" s="12"/>
      <c r="AA1" s="12"/>
    </row>
    <row r="2" spans="2:27" ht="15.75" customHeight="1">
      <c r="B2" s="580"/>
      <c r="C2" s="581"/>
      <c r="D2" s="581"/>
      <c r="E2" s="581"/>
      <c r="F2" s="581"/>
      <c r="G2" s="581"/>
      <c r="H2" s="582"/>
      <c r="I2" s="11"/>
      <c r="J2" s="12"/>
      <c r="K2" s="12"/>
      <c r="L2" s="12"/>
      <c r="M2" s="12"/>
      <c r="N2" s="12"/>
      <c r="O2" s="12"/>
      <c r="P2" s="12"/>
      <c r="Q2" s="12"/>
      <c r="R2" s="12"/>
      <c r="S2" s="12"/>
      <c r="T2" s="12"/>
      <c r="U2" s="12"/>
      <c r="V2" s="12"/>
      <c r="W2" s="12"/>
      <c r="X2" s="12"/>
      <c r="Y2" s="12"/>
      <c r="Z2" s="12"/>
      <c r="AA2" s="12"/>
    </row>
    <row r="3" spans="2:27" ht="48" customHeight="1" thickBot="1">
      <c r="B3" s="583"/>
      <c r="C3" s="584"/>
      <c r="D3" s="584"/>
      <c r="E3" s="584"/>
      <c r="F3" s="584"/>
      <c r="G3" s="584"/>
      <c r="H3" s="585"/>
      <c r="I3" s="11"/>
      <c r="J3" s="12"/>
      <c r="K3" s="12"/>
      <c r="L3" s="12"/>
      <c r="M3" s="12"/>
      <c r="N3" s="12"/>
      <c r="O3" s="12"/>
      <c r="P3" s="12"/>
      <c r="Q3" s="12"/>
      <c r="R3" s="12"/>
      <c r="S3" s="12"/>
      <c r="T3" s="12"/>
      <c r="U3" s="12"/>
      <c r="V3" s="12"/>
      <c r="W3" s="12"/>
      <c r="X3" s="12"/>
      <c r="Y3" s="12"/>
      <c r="Z3" s="12"/>
      <c r="AA3" s="12"/>
    </row>
    <row r="4" spans="2:27" ht="12.75" customHeight="1" thickBot="1" thickTop="1">
      <c r="B4" s="72"/>
      <c r="C4" s="73"/>
      <c r="D4" s="73"/>
      <c r="E4" s="74"/>
      <c r="F4" s="71"/>
      <c r="G4" s="71"/>
      <c r="H4" s="71"/>
      <c r="I4" s="13"/>
      <c r="J4" s="13"/>
      <c r="K4" s="13"/>
      <c r="L4" s="13"/>
      <c r="M4" s="13"/>
      <c r="N4" s="13"/>
      <c r="O4" s="13"/>
      <c r="P4" s="13"/>
      <c r="Q4" s="13"/>
      <c r="R4" s="13"/>
      <c r="S4" s="13"/>
      <c r="T4" s="13"/>
      <c r="U4" s="13"/>
      <c r="V4" s="13"/>
      <c r="W4" s="13"/>
      <c r="X4" s="13"/>
      <c r="Y4" s="13"/>
      <c r="Z4" s="13"/>
      <c r="AA4" s="13"/>
    </row>
    <row r="5" spans="2:27" ht="19.5" customHeight="1">
      <c r="B5" s="537" t="s">
        <v>1</v>
      </c>
      <c r="C5" s="538"/>
      <c r="D5" s="538"/>
      <c r="E5" s="538"/>
      <c r="F5" s="538"/>
      <c r="G5" s="539"/>
      <c r="H5" s="69"/>
      <c r="I5" s="13"/>
      <c r="J5" s="13"/>
      <c r="K5" s="13"/>
      <c r="L5" s="13"/>
      <c r="M5" s="13"/>
      <c r="N5" s="13"/>
      <c r="O5" s="13"/>
      <c r="P5" s="13"/>
      <c r="Q5" s="13"/>
      <c r="R5" s="13"/>
      <c r="S5" s="13"/>
      <c r="T5" s="13"/>
      <c r="U5" s="13"/>
      <c r="V5" s="13"/>
      <c r="W5" s="13"/>
      <c r="X5" s="13"/>
      <c r="Y5" s="13"/>
      <c r="Z5" s="13"/>
      <c r="AA5" s="13"/>
    </row>
    <row r="6" spans="2:27" ht="20.25" customHeight="1">
      <c r="B6" s="540"/>
      <c r="C6" s="541"/>
      <c r="D6" s="541"/>
      <c r="E6" s="541"/>
      <c r="F6" s="541"/>
      <c r="G6" s="542"/>
      <c r="H6" s="69"/>
      <c r="I6" s="13"/>
      <c r="J6" s="13"/>
      <c r="K6" s="13"/>
      <c r="L6" s="13"/>
      <c r="M6" s="13"/>
      <c r="N6" s="13"/>
      <c r="O6" s="13"/>
      <c r="P6" s="13"/>
      <c r="Q6" s="13"/>
      <c r="R6" s="13"/>
      <c r="S6" s="13"/>
      <c r="T6" s="13"/>
      <c r="U6" s="13"/>
      <c r="V6" s="13"/>
      <c r="W6" s="13"/>
      <c r="X6" s="13"/>
      <c r="Y6" s="13"/>
      <c r="Z6" s="13"/>
      <c r="AA6" s="13"/>
    </row>
    <row r="7" spans="2:27" ht="21" customHeight="1" thickBot="1">
      <c r="B7" s="543"/>
      <c r="C7" s="544"/>
      <c r="D7" s="544"/>
      <c r="E7" s="544"/>
      <c r="F7" s="544"/>
      <c r="G7" s="545"/>
      <c r="H7" s="69"/>
      <c r="I7" s="13"/>
      <c r="J7" s="13"/>
      <c r="K7" s="13"/>
      <c r="L7" s="13"/>
      <c r="M7" s="13"/>
      <c r="N7" s="13"/>
      <c r="O7" s="13"/>
      <c r="P7" s="13"/>
      <c r="Q7" s="13"/>
      <c r="R7" s="13"/>
      <c r="S7" s="13"/>
      <c r="T7" s="13"/>
      <c r="U7" s="13"/>
      <c r="V7" s="13"/>
      <c r="W7" s="13"/>
      <c r="X7" s="13"/>
      <c r="Y7" s="13"/>
      <c r="Z7" s="13"/>
      <c r="AA7" s="13"/>
    </row>
    <row r="8" spans="2:27" ht="30" customHeight="1" thickBot="1">
      <c r="B8" s="14" t="s">
        <v>2</v>
      </c>
      <c r="C8" s="546" t="s">
        <v>216</v>
      </c>
      <c r="D8" s="547"/>
      <c r="E8" s="547"/>
      <c r="F8" s="547"/>
      <c r="G8" s="548"/>
      <c r="H8" s="70"/>
      <c r="I8" s="13"/>
      <c r="J8" s="13"/>
      <c r="K8" s="13"/>
      <c r="L8" s="13"/>
      <c r="M8" s="13"/>
      <c r="N8" s="13"/>
      <c r="O8" s="13"/>
      <c r="P8" s="13"/>
      <c r="Q8" s="13"/>
      <c r="R8" s="13"/>
      <c r="S8" s="13"/>
      <c r="T8" s="13"/>
      <c r="U8" s="13"/>
      <c r="V8" s="13"/>
      <c r="W8" s="13"/>
      <c r="X8" s="13"/>
      <c r="Y8" s="13"/>
      <c r="Z8" s="13"/>
      <c r="AA8" s="13"/>
    </row>
    <row r="9" spans="2:27" ht="35.25" customHeight="1" thickBot="1" thickTop="1">
      <c r="B9" s="15" t="s">
        <v>3</v>
      </c>
      <c r="C9" s="549" t="s">
        <v>213</v>
      </c>
      <c r="D9" s="550"/>
      <c r="E9" s="550"/>
      <c r="F9" s="550"/>
      <c r="G9" s="551"/>
      <c r="H9" s="70"/>
      <c r="I9" s="13"/>
      <c r="J9" s="13"/>
      <c r="K9" s="13"/>
      <c r="L9" s="13"/>
      <c r="M9" s="13"/>
      <c r="N9" s="13"/>
      <c r="O9" s="13"/>
      <c r="P9" s="13"/>
      <c r="Q9" s="13"/>
      <c r="R9" s="13"/>
      <c r="S9" s="13"/>
      <c r="T9" s="13"/>
      <c r="U9" s="13"/>
      <c r="V9" s="13"/>
      <c r="W9" s="13"/>
      <c r="X9" s="13"/>
      <c r="Y9" s="13"/>
      <c r="Z9" s="13"/>
      <c r="AA9" s="13"/>
    </row>
    <row r="10" spans="2:12" ht="15" thickBot="1">
      <c r="B10" s="16"/>
      <c r="C10" s="16"/>
      <c r="D10" s="16"/>
      <c r="E10" s="16"/>
      <c r="F10" s="16"/>
      <c r="G10" s="16"/>
      <c r="H10" s="16"/>
      <c r="I10" s="17"/>
      <c r="J10" s="18"/>
      <c r="K10" s="18"/>
      <c r="L10" s="18"/>
    </row>
    <row r="11" spans="2:12" ht="80.25" customHeight="1" thickBot="1">
      <c r="B11" s="586" t="s">
        <v>201</v>
      </c>
      <c r="C11" s="587"/>
      <c r="D11" s="448">
        <v>42917</v>
      </c>
      <c r="E11" s="588" t="s">
        <v>200</v>
      </c>
      <c r="F11" s="589"/>
      <c r="G11" s="16"/>
      <c r="H11" s="16"/>
      <c r="I11" s="17"/>
      <c r="J11" s="18"/>
      <c r="K11" s="18"/>
      <c r="L11" s="18"/>
    </row>
    <row r="12" spans="2:12" ht="58.5" customHeight="1" thickBot="1">
      <c r="B12" s="590" t="s">
        <v>4</v>
      </c>
      <c r="C12" s="591"/>
      <c r="D12" s="592" t="s">
        <v>214</v>
      </c>
      <c r="E12" s="593"/>
      <c r="F12" s="593"/>
      <c r="G12" s="16"/>
      <c r="H12" s="16"/>
      <c r="I12" s="17"/>
      <c r="J12" s="18"/>
      <c r="K12" s="18"/>
      <c r="L12" s="18"/>
    </row>
    <row r="13" spans="2:12" ht="20.5" thickBot="1">
      <c r="B13" s="590" t="s">
        <v>5</v>
      </c>
      <c r="C13" s="591"/>
      <c r="D13" s="594" t="s">
        <v>215</v>
      </c>
      <c r="E13" s="594"/>
      <c r="F13" s="594"/>
      <c r="G13" s="16"/>
      <c r="H13" s="16"/>
      <c r="I13" s="17"/>
      <c r="J13" s="18"/>
      <c r="K13" s="18"/>
      <c r="L13" s="18"/>
    </row>
    <row r="14" spans="2:12" ht="15" thickBot="1">
      <c r="B14" s="16"/>
      <c r="C14" s="16"/>
      <c r="D14" s="16"/>
      <c r="E14" s="16"/>
      <c r="F14" s="16"/>
      <c r="G14" s="16"/>
      <c r="H14" s="16"/>
      <c r="I14" s="17"/>
      <c r="J14" s="18"/>
      <c r="K14" s="18"/>
      <c r="L14" s="18"/>
    </row>
    <row r="15" spans="2:17" ht="18.75" customHeight="1">
      <c r="B15" s="557" t="s">
        <v>193</v>
      </c>
      <c r="C15" s="558"/>
      <c r="D15" s="558"/>
      <c r="E15" s="558"/>
      <c r="F15" s="558"/>
      <c r="G15" s="559"/>
      <c r="H15" s="51"/>
      <c r="I15" s="20"/>
      <c r="J15" s="20"/>
      <c r="K15" s="20"/>
      <c r="L15" s="20"/>
      <c r="M15" s="20"/>
      <c r="N15" s="20"/>
      <c r="O15" s="20"/>
      <c r="P15" s="20"/>
      <c r="Q15" s="20"/>
    </row>
    <row r="16" spans="2:17" ht="15">
      <c r="B16" s="560"/>
      <c r="C16" s="561"/>
      <c r="D16" s="561"/>
      <c r="E16" s="561"/>
      <c r="F16" s="561"/>
      <c r="G16" s="562"/>
      <c r="H16" s="51"/>
      <c r="I16" s="20"/>
      <c r="J16" s="20"/>
      <c r="K16" s="20"/>
      <c r="L16" s="20"/>
      <c r="M16" s="20"/>
      <c r="N16" s="20"/>
      <c r="O16" s="20"/>
      <c r="P16" s="20"/>
      <c r="Q16" s="20"/>
    </row>
    <row r="17" spans="2:17" ht="15">
      <c r="B17" s="560"/>
      <c r="C17" s="561"/>
      <c r="D17" s="561"/>
      <c r="E17" s="561"/>
      <c r="F17" s="561"/>
      <c r="G17" s="562"/>
      <c r="H17" s="51"/>
      <c r="I17" s="20"/>
      <c r="J17" s="20"/>
      <c r="K17" s="20"/>
      <c r="L17" s="20"/>
      <c r="M17" s="20"/>
      <c r="N17" s="20"/>
      <c r="O17" s="20"/>
      <c r="P17" s="20"/>
      <c r="Q17" s="20"/>
    </row>
    <row r="18" spans="2:27" ht="168.75" customHeight="1" thickBot="1">
      <c r="B18" s="563"/>
      <c r="C18" s="564"/>
      <c r="D18" s="564"/>
      <c r="E18" s="564"/>
      <c r="F18" s="564"/>
      <c r="G18" s="565"/>
      <c r="H18" s="51"/>
      <c r="I18" s="20"/>
      <c r="J18" s="20"/>
      <c r="K18" s="20"/>
      <c r="L18" s="20"/>
      <c r="M18" s="20"/>
      <c r="N18" s="20"/>
      <c r="O18" s="20"/>
      <c r="P18" s="20"/>
      <c r="Q18" s="20"/>
      <c r="R18" s="21"/>
      <c r="S18" s="21"/>
      <c r="T18" s="21"/>
      <c r="U18" s="21"/>
      <c r="V18" s="21"/>
      <c r="W18" s="21"/>
      <c r="X18" s="21"/>
      <c r="Y18" s="21"/>
      <c r="Z18" s="21"/>
      <c r="AA18" s="21"/>
    </row>
    <row r="19" spans="2:27" ht="45.75" customHeight="1">
      <c r="B19" s="16"/>
      <c r="C19" s="16"/>
      <c r="D19" s="16"/>
      <c r="E19" s="16"/>
      <c r="F19" s="16"/>
      <c r="G19" s="16"/>
      <c r="H19" s="16"/>
      <c r="I19" s="22"/>
      <c r="J19" s="20"/>
      <c r="K19" s="20"/>
      <c r="L19" s="20"/>
      <c r="M19" s="20"/>
      <c r="N19" s="20"/>
      <c r="O19" s="20"/>
      <c r="P19" s="20"/>
      <c r="Q19" s="20"/>
      <c r="R19" s="21"/>
      <c r="S19" s="21"/>
      <c r="T19" s="21"/>
      <c r="U19" s="21"/>
      <c r="V19" s="21"/>
      <c r="W19" s="21"/>
      <c r="X19" s="21"/>
      <c r="Y19" s="21"/>
      <c r="Z19" s="21"/>
      <c r="AA19" s="21"/>
    </row>
    <row r="20" spans="2:27" ht="41.5" customHeight="1" thickBot="1">
      <c r="B20" s="23"/>
      <c r="C20" s="23"/>
      <c r="D20" s="23"/>
      <c r="E20" s="23"/>
      <c r="F20" s="23"/>
      <c r="G20" s="23"/>
      <c r="H20" s="24"/>
      <c r="I20" s="20"/>
      <c r="J20" s="20"/>
      <c r="K20" s="20"/>
      <c r="L20" s="20"/>
      <c r="M20" s="20"/>
      <c r="N20" s="20"/>
      <c r="O20" s="20"/>
      <c r="P20" s="20"/>
      <c r="Q20" s="20"/>
      <c r="R20" s="21"/>
      <c r="S20" s="21"/>
      <c r="T20" s="21"/>
      <c r="U20" s="21"/>
      <c r="V20" s="21"/>
      <c r="W20" s="21"/>
      <c r="X20" s="21"/>
      <c r="Y20" s="21"/>
      <c r="Z20" s="21"/>
      <c r="AA20" s="21"/>
    </row>
    <row r="21" spans="2:33" ht="47.25" customHeight="1" thickBot="1" thickTop="1">
      <c r="B21" s="23"/>
      <c r="C21" s="23"/>
      <c r="D21" s="23"/>
      <c r="E21" s="23"/>
      <c r="F21" s="23"/>
      <c r="G21" s="23"/>
      <c r="H21" s="23"/>
      <c r="I21" s="20"/>
      <c r="J21" s="20"/>
      <c r="K21" s="20"/>
      <c r="L21" s="20"/>
      <c r="M21" s="20"/>
      <c r="N21" s="20"/>
      <c r="O21" s="20"/>
      <c r="P21" s="20"/>
      <c r="Q21" s="20"/>
      <c r="R21" s="21"/>
      <c r="S21" s="21"/>
      <c r="T21" s="21"/>
      <c r="U21" s="21"/>
      <c r="V21" s="21"/>
      <c r="W21" s="21"/>
      <c r="X21" s="21"/>
      <c r="Y21" s="21"/>
      <c r="Z21" s="21"/>
      <c r="AA21" s="21"/>
      <c r="AD21" s="566" t="s">
        <v>55</v>
      </c>
      <c r="AE21" s="567"/>
      <c r="AF21" s="567"/>
      <c r="AG21" s="568"/>
    </row>
    <row r="22" spans="2:33" ht="20.25" customHeight="1" thickBot="1" thickTop="1">
      <c r="B22" s="23"/>
      <c r="C22" s="25" t="s">
        <v>7</v>
      </c>
      <c r="D22" s="569"/>
      <c r="E22" s="569"/>
      <c r="F22" s="569"/>
      <c r="G22" s="570"/>
      <c r="H22" s="26" t="s">
        <v>8</v>
      </c>
      <c r="I22" s="571"/>
      <c r="J22" s="569"/>
      <c r="K22" s="569"/>
      <c r="L22" s="570"/>
      <c r="M22" s="27" t="s">
        <v>9</v>
      </c>
      <c r="N22" s="569"/>
      <c r="O22" s="569"/>
      <c r="P22" s="569"/>
      <c r="Q22" s="570"/>
      <c r="R22" s="27" t="s">
        <v>10</v>
      </c>
      <c r="S22" s="569"/>
      <c r="T22" s="569"/>
      <c r="U22" s="569"/>
      <c r="V22" s="570"/>
      <c r="W22" s="27" t="s">
        <v>11</v>
      </c>
      <c r="X22" s="572"/>
      <c r="Y22" s="572"/>
      <c r="Z22" s="572"/>
      <c r="AA22" s="573"/>
      <c r="AD22" s="574" t="s">
        <v>6</v>
      </c>
      <c r="AE22" s="575"/>
      <c r="AF22" s="575"/>
      <c r="AG22" s="576"/>
    </row>
    <row r="23" spans="2:33" ht="31.5" customHeight="1" thickBot="1" thickTop="1">
      <c r="B23" s="23"/>
      <c r="C23" s="28" t="s">
        <v>13</v>
      </c>
      <c r="D23" s="553"/>
      <c r="E23" s="553"/>
      <c r="F23" s="553"/>
      <c r="G23" s="554"/>
      <c r="H23" s="29" t="s">
        <v>13</v>
      </c>
      <c r="I23" s="552"/>
      <c r="J23" s="553"/>
      <c r="K23" s="553"/>
      <c r="L23" s="554"/>
      <c r="M23" s="29" t="s">
        <v>13</v>
      </c>
      <c r="N23" s="552"/>
      <c r="O23" s="553"/>
      <c r="P23" s="553"/>
      <c r="Q23" s="554"/>
      <c r="R23" s="29" t="s">
        <v>13</v>
      </c>
      <c r="S23" s="553"/>
      <c r="T23" s="553"/>
      <c r="U23" s="553"/>
      <c r="V23" s="554"/>
      <c r="W23" s="29" t="s">
        <v>13</v>
      </c>
      <c r="X23" s="555"/>
      <c r="Y23" s="555"/>
      <c r="Z23" s="555"/>
      <c r="AA23" s="556"/>
      <c r="AD23" s="534" t="s">
        <v>12</v>
      </c>
      <c r="AE23" s="535"/>
      <c r="AF23" s="535"/>
      <c r="AG23" s="536"/>
    </row>
    <row r="24" spans="2:33" ht="114.75" customHeight="1" thickBot="1" thickTop="1">
      <c r="B24" s="30" t="s">
        <v>14</v>
      </c>
      <c r="C24" s="31" t="s">
        <v>15</v>
      </c>
      <c r="D24" s="32" t="s">
        <v>16</v>
      </c>
      <c r="E24" s="33" t="s">
        <v>17</v>
      </c>
      <c r="F24" s="33" t="s">
        <v>18</v>
      </c>
      <c r="G24" s="34" t="s">
        <v>19</v>
      </c>
      <c r="H24" s="35" t="s">
        <v>20</v>
      </c>
      <c r="I24" s="36" t="s">
        <v>177</v>
      </c>
      <c r="J24" s="37" t="s">
        <v>21</v>
      </c>
      <c r="K24" s="37" t="s">
        <v>22</v>
      </c>
      <c r="L24" s="38" t="s">
        <v>23</v>
      </c>
      <c r="M24" s="35" t="s">
        <v>24</v>
      </c>
      <c r="N24" s="36" t="s">
        <v>178</v>
      </c>
      <c r="O24" s="37" t="s">
        <v>25</v>
      </c>
      <c r="P24" s="37" t="s">
        <v>26</v>
      </c>
      <c r="Q24" s="38" t="s">
        <v>27</v>
      </c>
      <c r="R24" s="35" t="s">
        <v>28</v>
      </c>
      <c r="S24" s="36" t="s">
        <v>179</v>
      </c>
      <c r="T24" s="37" t="s">
        <v>29</v>
      </c>
      <c r="U24" s="37" t="s">
        <v>30</v>
      </c>
      <c r="V24" s="38" t="s">
        <v>31</v>
      </c>
      <c r="W24" s="35" t="s">
        <v>32</v>
      </c>
      <c r="X24" s="36" t="s">
        <v>180</v>
      </c>
      <c r="Y24" s="37" t="s">
        <v>174</v>
      </c>
      <c r="Z24" s="37" t="s">
        <v>175</v>
      </c>
      <c r="AA24" s="38" t="s">
        <v>176</v>
      </c>
      <c r="AD24" s="65" t="s">
        <v>33</v>
      </c>
      <c r="AE24" s="66" t="s">
        <v>56</v>
      </c>
      <c r="AF24" s="67" t="s">
        <v>58</v>
      </c>
      <c r="AG24" s="66" t="s">
        <v>57</v>
      </c>
    </row>
    <row r="25" spans="2:33" ht="20.15" customHeight="1">
      <c r="B25" s="44">
        <f aca="true" t="shared" si="0" ref="B25:B36">DATE(YEAR(B26),MONTH(B26)-1,DAY(B26))</f>
        <v>42186</v>
      </c>
      <c r="C25" s="39">
        <v>155719.19999999998</v>
      </c>
      <c r="D25" s="40">
        <v>12368.152</v>
      </c>
      <c r="E25" s="395">
        <v>275</v>
      </c>
      <c r="F25" s="45">
        <v>275</v>
      </c>
      <c r="G25" s="41">
        <v>3025</v>
      </c>
      <c r="H25" s="42"/>
      <c r="I25" s="43"/>
      <c r="J25" s="389"/>
      <c r="K25" s="389"/>
      <c r="L25" s="41"/>
      <c r="M25" s="42"/>
      <c r="N25" s="43"/>
      <c r="O25" s="389"/>
      <c r="P25" s="389"/>
      <c r="Q25" s="41"/>
      <c r="R25" s="42"/>
      <c r="S25" s="39"/>
      <c r="T25" s="39"/>
      <c r="U25" s="392"/>
      <c r="V25" s="41"/>
      <c r="W25" s="42"/>
      <c r="X25" s="39"/>
      <c r="Y25" s="39"/>
      <c r="Z25" s="392"/>
      <c r="AA25" s="352"/>
      <c r="AD25" s="465">
        <f>#REF!</f>
        <v>42186</v>
      </c>
      <c r="AE25" s="457">
        <v>0</v>
      </c>
      <c r="AF25" s="458"/>
      <c r="AG25" s="459">
        <f>IF(Table5[[#This Row],[Gas usage (ccf or therms)]]=0,0,29.31*Table5[[#This Row],[Gas usage (ccf or therms)]])</f>
        <v>0</v>
      </c>
    </row>
    <row r="26" spans="2:33" ht="20.15" customHeight="1">
      <c r="B26" s="44">
        <f t="shared" si="0"/>
        <v>42217</v>
      </c>
      <c r="C26" s="45">
        <v>154828.8</v>
      </c>
      <c r="D26" s="40">
        <v>12358.728</v>
      </c>
      <c r="E26" s="395">
        <v>279</v>
      </c>
      <c r="F26" s="45">
        <v>279</v>
      </c>
      <c r="G26" s="41">
        <v>3069</v>
      </c>
      <c r="H26" s="42"/>
      <c r="I26" s="43"/>
      <c r="J26" s="389"/>
      <c r="K26" s="389"/>
      <c r="L26" s="41"/>
      <c r="M26" s="42"/>
      <c r="N26" s="43"/>
      <c r="O26" s="389"/>
      <c r="P26" s="389"/>
      <c r="Q26" s="41"/>
      <c r="R26" s="42"/>
      <c r="S26" s="39"/>
      <c r="T26" s="39"/>
      <c r="U26" s="392"/>
      <c r="V26" s="41"/>
      <c r="W26" s="42"/>
      <c r="X26" s="39"/>
      <c r="Y26" s="39"/>
      <c r="Z26" s="392"/>
      <c r="AA26" s="352"/>
      <c r="AD26" s="466">
        <f>#REF!</f>
        <v>42217</v>
      </c>
      <c r="AE26" s="47">
        <v>0</v>
      </c>
      <c r="AF26" s="40"/>
      <c r="AG26" s="461">
        <f>IF(Table5[[#This Row],[Gas usage (ccf or therms)]]=0,0,29.31*Table5[[#This Row],[Gas usage (ccf or therms)]])</f>
        <v>0</v>
      </c>
    </row>
    <row r="27" spans="2:33" ht="20.15" customHeight="1">
      <c r="B27" s="44">
        <f t="shared" si="0"/>
        <v>42248</v>
      </c>
      <c r="C27" s="45">
        <v>176933.12000000002</v>
      </c>
      <c r="D27" s="40">
        <v>14058.987200000001</v>
      </c>
      <c r="E27" s="395">
        <v>313</v>
      </c>
      <c r="F27" s="45">
        <v>313</v>
      </c>
      <c r="G27" s="41">
        <v>3443</v>
      </c>
      <c r="H27" s="42"/>
      <c r="I27" s="43"/>
      <c r="J27" s="389"/>
      <c r="K27" s="389"/>
      <c r="L27" s="41"/>
      <c r="M27" s="42"/>
      <c r="N27" s="43"/>
      <c r="O27" s="389"/>
      <c r="P27" s="389"/>
      <c r="Q27" s="41"/>
      <c r="R27" s="42"/>
      <c r="S27" s="39"/>
      <c r="T27" s="39"/>
      <c r="U27" s="392"/>
      <c r="V27" s="41"/>
      <c r="W27" s="42"/>
      <c r="X27" s="39"/>
      <c r="Y27" s="39"/>
      <c r="Z27" s="392"/>
      <c r="AA27" s="352"/>
      <c r="AD27" s="466">
        <f>#REF!</f>
        <v>42248</v>
      </c>
      <c r="AE27" s="47">
        <v>0</v>
      </c>
      <c r="AF27" s="40"/>
      <c r="AG27" s="461">
        <f>IF(Table5[[#This Row],[Gas usage (ccf or therms)]]=0,0,29.31*Table5[[#This Row],[Gas usage (ccf or therms)]])</f>
        <v>0</v>
      </c>
    </row>
    <row r="28" spans="2:33" ht="20.15" customHeight="1">
      <c r="B28" s="44">
        <f t="shared" si="0"/>
        <v>42278</v>
      </c>
      <c r="C28" s="45">
        <v>156643.2</v>
      </c>
      <c r="D28" s="40">
        <v>12676.592</v>
      </c>
      <c r="E28" s="395">
        <v>298</v>
      </c>
      <c r="F28" s="45">
        <v>298</v>
      </c>
      <c r="G28" s="41">
        <v>3278</v>
      </c>
      <c r="H28" s="42"/>
      <c r="I28" s="43"/>
      <c r="J28" s="389"/>
      <c r="K28" s="389"/>
      <c r="L28" s="41"/>
      <c r="M28" s="42"/>
      <c r="N28" s="43"/>
      <c r="O28" s="389"/>
      <c r="P28" s="389"/>
      <c r="Q28" s="41"/>
      <c r="R28" s="42"/>
      <c r="S28" s="39"/>
      <c r="T28" s="39"/>
      <c r="U28" s="392"/>
      <c r="V28" s="41"/>
      <c r="W28" s="42"/>
      <c r="X28" s="39"/>
      <c r="Y28" s="39"/>
      <c r="Z28" s="392"/>
      <c r="AA28" s="352"/>
      <c r="AD28" s="466">
        <f>#REF!</f>
        <v>42278</v>
      </c>
      <c r="AE28" s="47">
        <v>0</v>
      </c>
      <c r="AF28" s="40"/>
      <c r="AG28" s="461">
        <f>IF(Table5[[#This Row],[Gas usage (ccf or therms)]]=0,0,29.31*Table5[[#This Row],[Gas usage (ccf or therms)]])</f>
        <v>0</v>
      </c>
    </row>
    <row r="29" spans="2:33" ht="20.15" customHeight="1">
      <c r="B29" s="44">
        <f t="shared" si="0"/>
        <v>42309</v>
      </c>
      <c r="C29" s="45">
        <v>163322.87999999998</v>
      </c>
      <c r="D29" s="40">
        <v>13022.372799999997</v>
      </c>
      <c r="E29" s="395">
        <v>293</v>
      </c>
      <c r="F29" s="45">
        <v>293</v>
      </c>
      <c r="G29" s="41">
        <v>3223</v>
      </c>
      <c r="H29" s="42"/>
      <c r="I29" s="43"/>
      <c r="J29" s="389"/>
      <c r="K29" s="389"/>
      <c r="L29" s="41"/>
      <c r="M29" s="42"/>
      <c r="N29" s="43"/>
      <c r="O29" s="389"/>
      <c r="P29" s="389"/>
      <c r="Q29" s="41"/>
      <c r="R29" s="42"/>
      <c r="S29" s="39"/>
      <c r="T29" s="39"/>
      <c r="U29" s="392"/>
      <c r="V29" s="41"/>
      <c r="W29" s="42"/>
      <c r="X29" s="39"/>
      <c r="Y29" s="39"/>
      <c r="Z29" s="392"/>
      <c r="AA29" s="352"/>
      <c r="AD29" s="466">
        <f>#REF!</f>
        <v>42309</v>
      </c>
      <c r="AE29" s="47">
        <v>0</v>
      </c>
      <c r="AF29" s="40"/>
      <c r="AG29" s="461">
        <f>IF(Table5[[#This Row],[Gas usage (ccf or therms)]]=0,0,29.31*Table5[[#This Row],[Gas usage (ccf or therms)]])</f>
        <v>0</v>
      </c>
    </row>
    <row r="30" spans="2:33" ht="20.15" customHeight="1">
      <c r="B30" s="44">
        <f t="shared" si="0"/>
        <v>42339</v>
      </c>
      <c r="C30" s="45">
        <v>150198.72</v>
      </c>
      <c r="D30" s="40">
        <v>12014.9232</v>
      </c>
      <c r="E30" s="395">
        <v>273</v>
      </c>
      <c r="F30" s="45">
        <v>273</v>
      </c>
      <c r="G30" s="41">
        <v>3003</v>
      </c>
      <c r="H30" s="42"/>
      <c r="I30" s="43"/>
      <c r="J30" s="389"/>
      <c r="K30" s="389"/>
      <c r="L30" s="41"/>
      <c r="M30" s="42"/>
      <c r="N30" s="43"/>
      <c r="O30" s="389"/>
      <c r="P30" s="389"/>
      <c r="Q30" s="41"/>
      <c r="R30" s="42"/>
      <c r="S30" s="39"/>
      <c r="T30" s="39"/>
      <c r="U30" s="392"/>
      <c r="V30" s="41"/>
      <c r="W30" s="42"/>
      <c r="X30" s="39"/>
      <c r="Y30" s="39"/>
      <c r="Z30" s="392"/>
      <c r="AA30" s="352"/>
      <c r="AD30" s="466">
        <f>#REF!</f>
        <v>42339</v>
      </c>
      <c r="AE30" s="47">
        <v>0</v>
      </c>
      <c r="AF30" s="40"/>
      <c r="AG30" s="461">
        <f>IF(Table5[[#This Row],[Gas usage (ccf or therms)]]=0,0,29.31*Table5[[#This Row],[Gas usage (ccf or therms)]])</f>
        <v>0</v>
      </c>
    </row>
    <row r="31" spans="2:33" ht="20.15" customHeight="1">
      <c r="B31" s="44">
        <f t="shared" si="0"/>
        <v>42370</v>
      </c>
      <c r="C31" s="45">
        <v>186759.99999999997</v>
      </c>
      <c r="D31" s="40">
        <v>15308.599999999999</v>
      </c>
      <c r="E31" s="395">
        <v>373</v>
      </c>
      <c r="F31" s="45">
        <v>373</v>
      </c>
      <c r="G31" s="41">
        <v>4103</v>
      </c>
      <c r="H31" s="42"/>
      <c r="I31" s="43"/>
      <c r="J31" s="389"/>
      <c r="K31" s="389"/>
      <c r="L31" s="41"/>
      <c r="M31" s="42"/>
      <c r="N31" s="43"/>
      <c r="O31" s="389"/>
      <c r="P31" s="389"/>
      <c r="Q31" s="41"/>
      <c r="R31" s="42"/>
      <c r="S31" s="39"/>
      <c r="T31" s="39"/>
      <c r="U31" s="392"/>
      <c r="V31" s="41"/>
      <c r="W31" s="42"/>
      <c r="X31" s="39"/>
      <c r="Y31" s="39"/>
      <c r="Z31" s="392"/>
      <c r="AA31" s="352"/>
      <c r="AD31" s="466">
        <f>#REF!</f>
        <v>42370</v>
      </c>
      <c r="AE31" s="47">
        <v>0</v>
      </c>
      <c r="AF31" s="40"/>
      <c r="AG31" s="461">
        <f>IF(Table5[[#This Row],[Gas usage (ccf or therms)]]=0,0,29.31*Table5[[#This Row],[Gas usage (ccf or therms)]])</f>
        <v>0</v>
      </c>
    </row>
    <row r="32" spans="2:33" ht="20.15" customHeight="1">
      <c r="B32" s="44">
        <f t="shared" si="0"/>
        <v>42401</v>
      </c>
      <c r="C32" s="45">
        <v>134366.4</v>
      </c>
      <c r="D32" s="40">
        <v>10822.984</v>
      </c>
      <c r="E32" s="395">
        <v>251</v>
      </c>
      <c r="F32" s="45">
        <v>251</v>
      </c>
      <c r="G32" s="41">
        <v>2761</v>
      </c>
      <c r="H32" s="42"/>
      <c r="I32" s="43"/>
      <c r="J32" s="389"/>
      <c r="K32" s="389"/>
      <c r="L32" s="41"/>
      <c r="M32" s="42"/>
      <c r="N32" s="43"/>
      <c r="O32" s="389"/>
      <c r="P32" s="389"/>
      <c r="Q32" s="41"/>
      <c r="R32" s="42"/>
      <c r="S32" s="39"/>
      <c r="T32" s="39"/>
      <c r="U32" s="392"/>
      <c r="V32" s="41"/>
      <c r="W32" s="42"/>
      <c r="X32" s="39"/>
      <c r="Y32" s="39"/>
      <c r="Z32" s="392"/>
      <c r="AA32" s="352"/>
      <c r="AD32" s="466">
        <f>#REF!</f>
        <v>42401</v>
      </c>
      <c r="AE32" s="47">
        <v>0</v>
      </c>
      <c r="AF32" s="40"/>
      <c r="AG32" s="461">
        <f>IF(Table5[[#This Row],[Gas usage (ccf or therms)]]=0,0,29.31*Table5[[#This Row],[Gas usage (ccf or therms)]])</f>
        <v>0</v>
      </c>
    </row>
    <row r="33" spans="2:33" ht="20.15" customHeight="1">
      <c r="B33" s="44">
        <f t="shared" si="0"/>
        <v>42430</v>
      </c>
      <c r="C33" s="45">
        <v>183120.00000000003</v>
      </c>
      <c r="D33" s="40">
        <v>14529.2</v>
      </c>
      <c r="E33" s="395">
        <v>322</v>
      </c>
      <c r="F33" s="45">
        <v>322</v>
      </c>
      <c r="G33" s="41">
        <v>3542</v>
      </c>
      <c r="H33" s="42"/>
      <c r="I33" s="43"/>
      <c r="J33" s="389"/>
      <c r="K33" s="389"/>
      <c r="L33" s="41"/>
      <c r="M33" s="42"/>
      <c r="N33" s="43"/>
      <c r="O33" s="389"/>
      <c r="P33" s="389"/>
      <c r="Q33" s="41"/>
      <c r="R33" s="42"/>
      <c r="S33" s="39"/>
      <c r="T33" s="39"/>
      <c r="U33" s="392"/>
      <c r="V33" s="41"/>
      <c r="W33" s="42"/>
      <c r="X33" s="39"/>
      <c r="Y33" s="39"/>
      <c r="Z33" s="392"/>
      <c r="AA33" s="352"/>
      <c r="AD33" s="466">
        <f>#REF!</f>
        <v>42430</v>
      </c>
      <c r="AE33" s="47">
        <v>0</v>
      </c>
      <c r="AF33" s="40"/>
      <c r="AG33" s="461">
        <f>IF(Table5[[#This Row],[Gas usage (ccf or therms)]]=0,0,29.31*Table5[[#This Row],[Gas usage (ccf or therms)]])</f>
        <v>0</v>
      </c>
    </row>
    <row r="34" spans="2:33" ht="20.15" customHeight="1">
      <c r="B34" s="44">
        <f t="shared" si="0"/>
        <v>42461</v>
      </c>
      <c r="C34" s="45">
        <v>147768.32</v>
      </c>
      <c r="D34" s="40">
        <v>11858.0992</v>
      </c>
      <c r="E34" s="395">
        <v>272</v>
      </c>
      <c r="F34" s="45">
        <v>272</v>
      </c>
      <c r="G34" s="41">
        <v>2992</v>
      </c>
      <c r="H34" s="42"/>
      <c r="I34" s="43"/>
      <c r="J34" s="389"/>
      <c r="K34" s="389"/>
      <c r="L34" s="41"/>
      <c r="M34" s="42"/>
      <c r="N34" s="43"/>
      <c r="O34" s="389"/>
      <c r="P34" s="389"/>
      <c r="Q34" s="41"/>
      <c r="R34" s="42"/>
      <c r="S34" s="39"/>
      <c r="T34" s="39"/>
      <c r="U34" s="392"/>
      <c r="V34" s="41"/>
      <c r="W34" s="42"/>
      <c r="X34" s="39"/>
      <c r="Y34" s="39"/>
      <c r="Z34" s="392"/>
      <c r="AA34" s="352"/>
      <c r="AD34" s="466">
        <f>#REF!</f>
        <v>42461</v>
      </c>
      <c r="AE34" s="47">
        <v>0</v>
      </c>
      <c r="AF34" s="40"/>
      <c r="AG34" s="461">
        <f>IF(Table5[[#This Row],[Gas usage (ccf or therms)]]=0,0,29.31*Table5[[#This Row],[Gas usage (ccf or therms)]])</f>
        <v>0</v>
      </c>
    </row>
    <row r="35" spans="2:33" ht="20.15" customHeight="1">
      <c r="B35" s="44">
        <f t="shared" si="0"/>
        <v>42491</v>
      </c>
      <c r="C35" s="45">
        <v>199533.60000000003</v>
      </c>
      <c r="D35" s="40">
        <v>15833.016000000001</v>
      </c>
      <c r="E35" s="395">
        <v>351</v>
      </c>
      <c r="F35" s="45">
        <v>351</v>
      </c>
      <c r="G35" s="41">
        <v>3861</v>
      </c>
      <c r="H35" s="42"/>
      <c r="I35" s="43"/>
      <c r="J35" s="389"/>
      <c r="K35" s="389"/>
      <c r="L35" s="41"/>
      <c r="M35" s="42"/>
      <c r="N35" s="43"/>
      <c r="O35" s="389"/>
      <c r="P35" s="389"/>
      <c r="Q35" s="41"/>
      <c r="R35" s="42"/>
      <c r="S35" s="39"/>
      <c r="T35" s="39"/>
      <c r="U35" s="392"/>
      <c r="V35" s="41"/>
      <c r="W35" s="42"/>
      <c r="X35" s="39"/>
      <c r="Y35" s="39"/>
      <c r="Z35" s="392"/>
      <c r="AA35" s="352"/>
      <c r="AD35" s="466">
        <f>#REF!</f>
        <v>42491</v>
      </c>
      <c r="AE35" s="47">
        <v>0</v>
      </c>
      <c r="AF35" s="40"/>
      <c r="AG35" s="461">
        <f>IF(Table5[[#This Row],[Gas usage (ccf or therms)]]=0,0,29.31*Table5[[#This Row],[Gas usage (ccf or therms)]])</f>
        <v>0</v>
      </c>
    </row>
    <row r="36" spans="2:33" ht="20.15" customHeight="1" thickBot="1">
      <c r="B36" s="264">
        <f t="shared" si="0"/>
        <v>42522</v>
      </c>
      <c r="C36" s="265">
        <v>215784.80000000002</v>
      </c>
      <c r="D36" s="266">
        <v>17149.088</v>
      </c>
      <c r="E36" s="396">
        <v>382</v>
      </c>
      <c r="F36" s="265">
        <v>382</v>
      </c>
      <c r="G36" s="267">
        <v>4202</v>
      </c>
      <c r="H36" s="268"/>
      <c r="I36" s="269"/>
      <c r="J36" s="390"/>
      <c r="K36" s="390"/>
      <c r="L36" s="267"/>
      <c r="M36" s="268"/>
      <c r="N36" s="269"/>
      <c r="O36" s="390"/>
      <c r="P36" s="390"/>
      <c r="Q36" s="267"/>
      <c r="R36" s="268"/>
      <c r="S36" s="272"/>
      <c r="T36" s="272"/>
      <c r="U36" s="393"/>
      <c r="V36" s="267"/>
      <c r="W36" s="268"/>
      <c r="X36" s="272"/>
      <c r="Y36" s="272"/>
      <c r="Z36" s="393"/>
      <c r="AA36" s="353"/>
      <c r="AD36" s="467">
        <f>#REF!</f>
        <v>42522</v>
      </c>
      <c r="AE36" s="463">
        <v>0</v>
      </c>
      <c r="AF36" s="266"/>
      <c r="AG36" s="464">
        <f>IF(Table5[[#This Row],[Gas usage (ccf or therms)]]=0,0,29.31*Table5[[#This Row],[Gas usage (ccf or therms)]])</f>
        <v>0</v>
      </c>
    </row>
    <row r="37" spans="2:33" ht="20.15" customHeight="1">
      <c r="B37" s="44">
        <f aca="true" t="shared" si="1" ref="B37:B47">DATE(YEAR(B38),MONTH(B38)-1,DAY(B38))</f>
        <v>42552</v>
      </c>
      <c r="C37" s="260">
        <v>156031.68</v>
      </c>
      <c r="D37" s="64">
        <v>12518.9008</v>
      </c>
      <c r="E37" s="397">
        <v>287</v>
      </c>
      <c r="F37" s="260">
        <v>287</v>
      </c>
      <c r="G37" s="261">
        <v>3157</v>
      </c>
      <c r="H37" s="262"/>
      <c r="I37" s="263"/>
      <c r="J37" s="391"/>
      <c r="K37" s="391"/>
      <c r="L37" s="261"/>
      <c r="M37" s="262"/>
      <c r="N37" s="263"/>
      <c r="O37" s="391"/>
      <c r="P37" s="391"/>
      <c r="Q37" s="261"/>
      <c r="R37" s="262"/>
      <c r="S37" s="271"/>
      <c r="T37" s="271"/>
      <c r="U37" s="394"/>
      <c r="V37" s="261"/>
      <c r="W37" s="262"/>
      <c r="X37" s="271"/>
      <c r="Y37" s="271"/>
      <c r="Z37" s="394"/>
      <c r="AA37" s="354"/>
      <c r="AD37" s="62">
        <f>#REF!</f>
        <v>42552</v>
      </c>
      <c r="AE37" s="63">
        <v>0</v>
      </c>
      <c r="AF37" s="64"/>
      <c r="AG37" s="68">
        <f>IF(Table5[[#This Row],[Gas usage (ccf or therms)]]=0,0,29.31*Table5[[#This Row],[Gas usage (ccf or therms)]])</f>
        <v>0</v>
      </c>
    </row>
    <row r="38" spans="2:33" ht="20.15" customHeight="1">
      <c r="B38" s="44">
        <f t="shared" si="1"/>
        <v>42583</v>
      </c>
      <c r="C38" s="45">
        <v>241500</v>
      </c>
      <c r="D38" s="40">
        <v>19759</v>
      </c>
      <c r="E38" s="395">
        <v>479</v>
      </c>
      <c r="F38" s="45">
        <v>479</v>
      </c>
      <c r="G38" s="41">
        <v>5269</v>
      </c>
      <c r="H38" s="42"/>
      <c r="I38" s="43"/>
      <c r="J38" s="389"/>
      <c r="K38" s="389"/>
      <c r="L38" s="41"/>
      <c r="M38" s="42"/>
      <c r="N38" s="43"/>
      <c r="O38" s="389"/>
      <c r="P38" s="389"/>
      <c r="Q38" s="41"/>
      <c r="R38" s="42"/>
      <c r="S38" s="39"/>
      <c r="T38" s="39"/>
      <c r="U38" s="392"/>
      <c r="V38" s="41"/>
      <c r="W38" s="42"/>
      <c r="X38" s="39"/>
      <c r="Y38" s="39"/>
      <c r="Z38" s="392"/>
      <c r="AA38" s="352"/>
      <c r="AD38" s="46">
        <f>#REF!</f>
        <v>42583</v>
      </c>
      <c r="AE38" s="47">
        <v>0</v>
      </c>
      <c r="AF38" s="40"/>
      <c r="AG38" s="68">
        <f>IF(Table5[[#This Row],[Gas usage (ccf or therms)]]=0,0,29.31*Table5[[#This Row],[Gas usage (ccf or therms)]])</f>
        <v>0</v>
      </c>
    </row>
    <row r="39" spans="2:33" ht="20.15" customHeight="1">
      <c r="B39" s="44">
        <f t="shared" si="1"/>
        <v>42614</v>
      </c>
      <c r="C39" s="45">
        <v>146084.4</v>
      </c>
      <c r="D39" s="40">
        <v>12450.063999999998</v>
      </c>
      <c r="E39" s="395">
        <v>269</v>
      </c>
      <c r="F39" s="45">
        <v>335</v>
      </c>
      <c r="G39" s="41">
        <v>3685</v>
      </c>
      <c r="H39" s="42"/>
      <c r="I39" s="43"/>
      <c r="J39" s="389"/>
      <c r="K39" s="389"/>
      <c r="L39" s="41"/>
      <c r="M39" s="42"/>
      <c r="N39" s="43"/>
      <c r="O39" s="389"/>
      <c r="P39" s="389"/>
      <c r="Q39" s="41"/>
      <c r="R39" s="42"/>
      <c r="S39" s="39"/>
      <c r="T39" s="39"/>
      <c r="U39" s="392"/>
      <c r="V39" s="41"/>
      <c r="W39" s="42"/>
      <c r="X39" s="39"/>
      <c r="Y39" s="39"/>
      <c r="Z39" s="392"/>
      <c r="AA39" s="352"/>
      <c r="AD39" s="46">
        <f>#REF!</f>
        <v>42614</v>
      </c>
      <c r="AE39" s="47">
        <v>0</v>
      </c>
      <c r="AF39" s="40"/>
      <c r="AG39" s="68">
        <f>IF(Table5[[#This Row],[Gas usage (ccf or therms)]]=0,0,29.31*Table5[[#This Row],[Gas usage (ccf or therms)]])</f>
        <v>0</v>
      </c>
    </row>
    <row r="40" spans="2:33" ht="20.15" customHeight="1">
      <c r="B40" s="44">
        <f t="shared" si="1"/>
        <v>42644</v>
      </c>
      <c r="C40" s="45">
        <v>178113.6</v>
      </c>
      <c r="D40" s="40">
        <v>14514.816</v>
      </c>
      <c r="E40" s="395">
        <v>348</v>
      </c>
      <c r="F40" s="45">
        <v>348</v>
      </c>
      <c r="G40" s="41">
        <v>3828</v>
      </c>
      <c r="H40" s="42"/>
      <c r="I40" s="43"/>
      <c r="J40" s="389"/>
      <c r="K40" s="389"/>
      <c r="L40" s="41"/>
      <c r="M40" s="42"/>
      <c r="N40" s="43"/>
      <c r="O40" s="389"/>
      <c r="P40" s="389"/>
      <c r="Q40" s="41"/>
      <c r="R40" s="42"/>
      <c r="S40" s="39"/>
      <c r="T40" s="39"/>
      <c r="U40" s="392"/>
      <c r="V40" s="41"/>
      <c r="W40" s="42"/>
      <c r="X40" s="39"/>
      <c r="Y40" s="39"/>
      <c r="Z40" s="392"/>
      <c r="AA40" s="352"/>
      <c r="AD40" s="46">
        <f>#REF!</f>
        <v>42644</v>
      </c>
      <c r="AE40" s="47">
        <v>0</v>
      </c>
      <c r="AF40" s="40"/>
      <c r="AG40" s="68">
        <f>IF(Table5[[#This Row],[Gas usage (ccf or therms)]]=0,0,29.31*Table5[[#This Row],[Gas usage (ccf or therms)]])</f>
        <v>0</v>
      </c>
    </row>
    <row r="41" spans="2:33" ht="20.15" customHeight="1">
      <c r="B41" s="44">
        <f t="shared" si="1"/>
        <v>42675</v>
      </c>
      <c r="C41" s="45">
        <v>213736.32000000004</v>
      </c>
      <c r="D41" s="40">
        <v>17279.179200000002</v>
      </c>
      <c r="E41" s="395">
        <v>405</v>
      </c>
      <c r="F41" s="45">
        <v>405</v>
      </c>
      <c r="G41" s="41">
        <v>4455</v>
      </c>
      <c r="H41" s="42"/>
      <c r="I41" s="43"/>
      <c r="J41" s="389"/>
      <c r="K41" s="389"/>
      <c r="L41" s="41"/>
      <c r="M41" s="42"/>
      <c r="N41" s="43"/>
      <c r="O41" s="389"/>
      <c r="P41" s="389"/>
      <c r="Q41" s="41"/>
      <c r="R41" s="42"/>
      <c r="S41" s="39"/>
      <c r="T41" s="39"/>
      <c r="U41" s="392"/>
      <c r="V41" s="41"/>
      <c r="W41" s="42"/>
      <c r="X41" s="39"/>
      <c r="Y41" s="39"/>
      <c r="Z41" s="392"/>
      <c r="AA41" s="352"/>
      <c r="AD41" s="46">
        <f>#REF!</f>
        <v>42675</v>
      </c>
      <c r="AE41" s="47">
        <v>0</v>
      </c>
      <c r="AF41" s="40"/>
      <c r="AG41" s="68">
        <f>IF(Table5[[#This Row],[Gas usage (ccf or therms)]]=0,0,29.31*Table5[[#This Row],[Gas usage (ccf or therms)]])</f>
        <v>0</v>
      </c>
    </row>
    <row r="42" spans="2:33" ht="20.15" customHeight="1">
      <c r="B42" s="44">
        <f t="shared" si="1"/>
        <v>42705</v>
      </c>
      <c r="C42" s="45">
        <v>169694</v>
      </c>
      <c r="D42" s="40">
        <v>13866.64</v>
      </c>
      <c r="E42" s="395">
        <v>285</v>
      </c>
      <c r="F42" s="45">
        <v>335</v>
      </c>
      <c r="G42" s="41">
        <v>3685</v>
      </c>
      <c r="H42" s="42"/>
      <c r="I42" s="43"/>
      <c r="J42" s="389"/>
      <c r="K42" s="389"/>
      <c r="L42" s="41"/>
      <c r="M42" s="42"/>
      <c r="N42" s="43"/>
      <c r="O42" s="389"/>
      <c r="P42" s="389"/>
      <c r="Q42" s="41"/>
      <c r="R42" s="42"/>
      <c r="S42" s="39"/>
      <c r="T42" s="39"/>
      <c r="U42" s="392"/>
      <c r="V42" s="41"/>
      <c r="W42" s="42"/>
      <c r="X42" s="39"/>
      <c r="Y42" s="39"/>
      <c r="Z42" s="392"/>
      <c r="AA42" s="352"/>
      <c r="AD42" s="46">
        <f>#REF!</f>
        <v>42705</v>
      </c>
      <c r="AE42" s="47">
        <v>0</v>
      </c>
      <c r="AF42" s="40"/>
      <c r="AG42" s="68">
        <f>IF(Table5[[#This Row],[Gas usage (ccf or therms)]]=0,0,29.31*Table5[[#This Row],[Gas usage (ccf or therms)]])</f>
        <v>0</v>
      </c>
    </row>
    <row r="43" spans="2:33" ht="20.15" customHeight="1">
      <c r="B43" s="44">
        <f t="shared" si="1"/>
        <v>42736</v>
      </c>
      <c r="C43" s="45">
        <v>186278.40000000002</v>
      </c>
      <c r="D43" s="40">
        <v>15246.704000000002</v>
      </c>
      <c r="E43" s="395">
        <v>370</v>
      </c>
      <c r="F43" s="45">
        <v>370</v>
      </c>
      <c r="G43" s="41">
        <v>4070</v>
      </c>
      <c r="H43" s="42"/>
      <c r="I43" s="43"/>
      <c r="J43" s="389"/>
      <c r="K43" s="389"/>
      <c r="L43" s="41"/>
      <c r="M43" s="42"/>
      <c r="N43" s="43"/>
      <c r="O43" s="389"/>
      <c r="P43" s="389"/>
      <c r="Q43" s="41"/>
      <c r="R43" s="42"/>
      <c r="S43" s="39"/>
      <c r="T43" s="39"/>
      <c r="U43" s="392"/>
      <c r="V43" s="41"/>
      <c r="W43" s="42"/>
      <c r="X43" s="39"/>
      <c r="Y43" s="39"/>
      <c r="Z43" s="392"/>
      <c r="AA43" s="352"/>
      <c r="AD43" s="46">
        <f>#REF!</f>
        <v>42736</v>
      </c>
      <c r="AE43" s="47">
        <v>0</v>
      </c>
      <c r="AF43" s="40"/>
      <c r="AG43" s="68">
        <f>IF(Table5[[#This Row],[Gas usage (ccf or therms)]]=0,0,29.31*Table5[[#This Row],[Gas usage (ccf or therms)]])</f>
        <v>0</v>
      </c>
    </row>
    <row r="44" spans="2:33" ht="20.15" customHeight="1">
      <c r="B44" s="44">
        <f t="shared" si="1"/>
        <v>42767</v>
      </c>
      <c r="C44" s="45">
        <v>161135.52</v>
      </c>
      <c r="D44" s="40">
        <v>13353.1312</v>
      </c>
      <c r="E44" s="395">
        <v>309</v>
      </c>
      <c r="F44" s="45">
        <v>335</v>
      </c>
      <c r="G44" s="41">
        <v>3685</v>
      </c>
      <c r="H44" s="42"/>
      <c r="I44" s="43"/>
      <c r="J44" s="389"/>
      <c r="K44" s="389"/>
      <c r="L44" s="41"/>
      <c r="M44" s="42"/>
      <c r="N44" s="43"/>
      <c r="O44" s="389"/>
      <c r="P44" s="389"/>
      <c r="Q44" s="41"/>
      <c r="R44" s="42"/>
      <c r="S44" s="39"/>
      <c r="T44" s="39"/>
      <c r="U44" s="392"/>
      <c r="V44" s="41"/>
      <c r="W44" s="42"/>
      <c r="X44" s="39"/>
      <c r="Y44" s="39"/>
      <c r="Z44" s="392"/>
      <c r="AA44" s="352"/>
      <c r="AD44" s="46">
        <f>#REF!</f>
        <v>42767</v>
      </c>
      <c r="AE44" s="47">
        <v>0</v>
      </c>
      <c r="AF44" s="40"/>
      <c r="AG44" s="68">
        <f>IF(Table5[[#This Row],[Gas usage (ccf or therms)]]=0,0,29.31*Table5[[#This Row],[Gas usage (ccf or therms)]])</f>
        <v>0</v>
      </c>
    </row>
    <row r="45" spans="2:33" ht="20.15" customHeight="1">
      <c r="B45" s="44">
        <f t="shared" si="1"/>
        <v>42795</v>
      </c>
      <c r="C45" s="45">
        <v>190612.8</v>
      </c>
      <c r="D45" s="40">
        <v>15264.767999999998</v>
      </c>
      <c r="E45" s="395">
        <v>348</v>
      </c>
      <c r="F45" s="45">
        <v>348</v>
      </c>
      <c r="G45" s="41">
        <v>3828</v>
      </c>
      <c r="H45" s="42"/>
      <c r="I45" s="43"/>
      <c r="J45" s="389"/>
      <c r="K45" s="389"/>
      <c r="L45" s="41"/>
      <c r="M45" s="42"/>
      <c r="N45" s="43"/>
      <c r="O45" s="389"/>
      <c r="P45" s="389"/>
      <c r="Q45" s="41"/>
      <c r="R45" s="42"/>
      <c r="S45" s="39"/>
      <c r="T45" s="39"/>
      <c r="U45" s="392"/>
      <c r="V45" s="41"/>
      <c r="W45" s="42"/>
      <c r="X45" s="39"/>
      <c r="Y45" s="39"/>
      <c r="Z45" s="392"/>
      <c r="AA45" s="352"/>
      <c r="AD45" s="46">
        <f>#REF!</f>
        <v>42795</v>
      </c>
      <c r="AE45" s="47">
        <v>0</v>
      </c>
      <c r="AF45" s="40"/>
      <c r="AG45" s="68">
        <f>IF(Table5[[#This Row],[Gas usage (ccf or therms)]]=0,0,29.31*Table5[[#This Row],[Gas usage (ccf or therms)]])</f>
        <v>0</v>
      </c>
    </row>
    <row r="46" spans="2:33" ht="20.15" customHeight="1">
      <c r="B46" s="44">
        <f t="shared" si="1"/>
        <v>42826</v>
      </c>
      <c r="C46" s="45">
        <v>139209.84000000003</v>
      </c>
      <c r="D46" s="40">
        <v>12037.590400000001</v>
      </c>
      <c r="E46" s="395">
        <v>234</v>
      </c>
      <c r="F46" s="45">
        <v>335</v>
      </c>
      <c r="G46" s="41">
        <v>3685</v>
      </c>
      <c r="H46" s="42"/>
      <c r="I46" s="43"/>
      <c r="J46" s="389"/>
      <c r="K46" s="389"/>
      <c r="L46" s="41"/>
      <c r="M46" s="42"/>
      <c r="N46" s="43"/>
      <c r="O46" s="389"/>
      <c r="P46" s="389"/>
      <c r="Q46" s="41"/>
      <c r="R46" s="42"/>
      <c r="S46" s="39"/>
      <c r="T46" s="39"/>
      <c r="U46" s="392"/>
      <c r="V46" s="41"/>
      <c r="W46" s="42"/>
      <c r="X46" s="39"/>
      <c r="Y46" s="39"/>
      <c r="Z46" s="392"/>
      <c r="AA46" s="352"/>
      <c r="AD46" s="46">
        <f>#REF!</f>
        <v>42826</v>
      </c>
      <c r="AE46" s="47">
        <v>0</v>
      </c>
      <c r="AF46" s="40"/>
      <c r="AG46" s="68">
        <f>IF(Table5[[#This Row],[Gas usage (ccf or therms)]]=0,0,29.31*Table5[[#This Row],[Gas usage (ccf or therms)]])</f>
        <v>0</v>
      </c>
    </row>
    <row r="47" spans="2:33" ht="20.15" customHeight="1">
      <c r="B47" s="44">
        <f t="shared" si="1"/>
        <v>42856</v>
      </c>
      <c r="C47" s="45">
        <v>190612.8</v>
      </c>
      <c r="D47" s="40">
        <v>15220.767999999998</v>
      </c>
      <c r="E47" s="395">
        <v>344</v>
      </c>
      <c r="F47" s="45">
        <v>344</v>
      </c>
      <c r="G47" s="41">
        <v>3784</v>
      </c>
      <c r="H47" s="42"/>
      <c r="I47" s="43"/>
      <c r="J47" s="389"/>
      <c r="K47" s="389"/>
      <c r="L47" s="41"/>
      <c r="M47" s="42"/>
      <c r="N47" s="43"/>
      <c r="O47" s="389"/>
      <c r="P47" s="389"/>
      <c r="Q47" s="41"/>
      <c r="R47" s="42"/>
      <c r="S47" s="39"/>
      <c r="T47" s="39"/>
      <c r="U47" s="392"/>
      <c r="V47" s="41"/>
      <c r="W47" s="42"/>
      <c r="X47" s="39"/>
      <c r="Y47" s="39"/>
      <c r="Z47" s="392"/>
      <c r="AA47" s="352"/>
      <c r="AD47" s="46">
        <f>#REF!</f>
        <v>42856</v>
      </c>
      <c r="AE47" s="47">
        <v>0</v>
      </c>
      <c r="AF47" s="40"/>
      <c r="AG47" s="68">
        <f>IF(Table5[[#This Row],[Gas usage (ccf or therms)]]=0,0,29.31*Table5[[#This Row],[Gas usage (ccf or therms)]])</f>
        <v>0</v>
      </c>
    </row>
    <row r="48" spans="2:33" ht="20.15" customHeight="1" thickBot="1">
      <c r="B48" s="264">
        <f>DATE(YEAR(D11),MONTH(D11)-1,DAY(D11))</f>
        <v>42887</v>
      </c>
      <c r="C48" s="339">
        <v>157976</v>
      </c>
      <c r="D48" s="266">
        <v>13163.56</v>
      </c>
      <c r="E48" s="396">
        <v>299</v>
      </c>
      <c r="F48" s="265">
        <v>335</v>
      </c>
      <c r="G48" s="267">
        <v>3685</v>
      </c>
      <c r="H48" s="268"/>
      <c r="I48" s="269"/>
      <c r="J48" s="390"/>
      <c r="K48" s="390"/>
      <c r="L48" s="267"/>
      <c r="M48" s="268"/>
      <c r="N48" s="269"/>
      <c r="O48" s="390"/>
      <c r="P48" s="390"/>
      <c r="Q48" s="267"/>
      <c r="R48" s="268"/>
      <c r="S48" s="272"/>
      <c r="T48" s="272"/>
      <c r="U48" s="393"/>
      <c r="V48" s="267"/>
      <c r="W48" s="268"/>
      <c r="X48" s="272"/>
      <c r="Y48" s="272"/>
      <c r="Z48" s="393"/>
      <c r="AA48" s="353"/>
      <c r="AD48" s="467">
        <f>#REF!</f>
        <v>42887</v>
      </c>
      <c r="AE48" s="453">
        <v>0</v>
      </c>
      <c r="AF48" s="454"/>
      <c r="AG48" s="455">
        <f>IF(Table5[[#This Row],[Gas usage (ccf or therms)]]=0,0,29.31*Table5[[#This Row],[Gas usage (ccf or therms)]])</f>
        <v>0</v>
      </c>
    </row>
    <row r="49" spans="2:33" ht="20.15" customHeight="1">
      <c r="B49" s="270">
        <f>EOMONTH(D11,-1)+1</f>
        <v>42917</v>
      </c>
      <c r="C49" s="260">
        <v>168895</v>
      </c>
      <c r="D49" s="64">
        <v>14957.175000000001</v>
      </c>
      <c r="E49" s="397">
        <v>293</v>
      </c>
      <c r="F49" s="260">
        <v>335</v>
      </c>
      <c r="G49" s="261">
        <v>3979</v>
      </c>
      <c r="H49" s="262"/>
      <c r="I49" s="263"/>
      <c r="J49" s="391"/>
      <c r="K49" s="391"/>
      <c r="L49" s="261"/>
      <c r="M49" s="262"/>
      <c r="N49" s="263"/>
      <c r="O49" s="391"/>
      <c r="P49" s="391"/>
      <c r="Q49" s="261"/>
      <c r="R49" s="262"/>
      <c r="S49" s="271"/>
      <c r="T49" s="271"/>
      <c r="U49" s="394"/>
      <c r="V49" s="261"/>
      <c r="W49" s="262"/>
      <c r="X49" s="271"/>
      <c r="Y49" s="271"/>
      <c r="Z49" s="394"/>
      <c r="AA49" s="354"/>
      <c r="AD49" s="456">
        <f>#REF!</f>
        <v>42917</v>
      </c>
      <c r="AE49" s="457">
        <v>0</v>
      </c>
      <c r="AF49" s="458"/>
      <c r="AG49" s="459">
        <f>IF(Table5[[#This Row],[Gas usage (ccf or therms)]]=0,0,29.31*Table5[[#This Row],[Gas usage (ccf or therms)]])</f>
        <v>0</v>
      </c>
    </row>
    <row r="50" spans="2:33" ht="20.15" customHeight="1">
      <c r="B50" s="55">
        <f>DATE(YEAR(B49),MONTH(B49)+1,DAY(B49))</f>
        <v>42948</v>
      </c>
      <c r="C50" s="45">
        <v>167378</v>
      </c>
      <c r="D50" s="40">
        <v>15123.07</v>
      </c>
      <c r="E50" s="395">
        <v>294</v>
      </c>
      <c r="F50" s="45">
        <v>335</v>
      </c>
      <c r="G50" s="41">
        <v>4243.5</v>
      </c>
      <c r="H50" s="42"/>
      <c r="I50" s="43"/>
      <c r="J50" s="389"/>
      <c r="K50" s="389"/>
      <c r="L50" s="41"/>
      <c r="M50" s="42"/>
      <c r="N50" s="43"/>
      <c r="O50" s="389"/>
      <c r="P50" s="389"/>
      <c r="Q50" s="41"/>
      <c r="R50" s="42"/>
      <c r="S50" s="39"/>
      <c r="T50" s="39"/>
      <c r="U50" s="392"/>
      <c r="V50" s="41"/>
      <c r="W50" s="42"/>
      <c r="X50" s="39"/>
      <c r="Y50" s="39"/>
      <c r="Z50" s="392"/>
      <c r="AA50" s="352"/>
      <c r="AD50" s="460">
        <f>#REF!</f>
        <v>42948</v>
      </c>
      <c r="AE50" s="47">
        <v>0</v>
      </c>
      <c r="AF50" s="40"/>
      <c r="AG50" s="461">
        <f>IF(Table5[[#This Row],[Gas usage (ccf or therms)]]=0,0,29.31*Table5[[#This Row],[Gas usage (ccf or therms)]])</f>
        <v>0</v>
      </c>
    </row>
    <row r="51" spans="2:33" ht="20.15" customHeight="1">
      <c r="B51" s="55">
        <f aca="true" t="shared" si="2" ref="B51:B108">DATE(YEAR(B50),MONTH(B50)+1,DAY(B50))</f>
        <v>42979</v>
      </c>
      <c r="C51" s="45">
        <v>151568</v>
      </c>
      <c r="D51" s="40">
        <v>13324.92</v>
      </c>
      <c r="E51" s="395">
        <v>243</v>
      </c>
      <c r="F51" s="45">
        <v>284</v>
      </c>
      <c r="G51" s="41">
        <v>3473</v>
      </c>
      <c r="H51" s="42"/>
      <c r="I51" s="43"/>
      <c r="J51" s="389"/>
      <c r="K51" s="389"/>
      <c r="L51" s="41"/>
      <c r="M51" s="42"/>
      <c r="N51" s="43"/>
      <c r="O51" s="389"/>
      <c r="P51" s="389"/>
      <c r="Q51" s="41"/>
      <c r="R51" s="42"/>
      <c r="S51" s="39"/>
      <c r="T51" s="39"/>
      <c r="U51" s="392"/>
      <c r="V51" s="41"/>
      <c r="W51" s="42"/>
      <c r="X51" s="39"/>
      <c r="Y51" s="39"/>
      <c r="Z51" s="392"/>
      <c r="AA51" s="352"/>
      <c r="AD51" s="460">
        <f>#REF!</f>
        <v>42979</v>
      </c>
      <c r="AE51" s="47">
        <v>0</v>
      </c>
      <c r="AF51" s="40"/>
      <c r="AG51" s="461">
        <f>IF(Table5[[#This Row],[Gas usage (ccf or therms)]]=0,0,29.31*Table5[[#This Row],[Gas usage (ccf or therms)]])</f>
        <v>0</v>
      </c>
    </row>
    <row r="52" spans="2:33" ht="20.15" customHeight="1">
      <c r="B52" s="55">
        <f t="shared" si="2"/>
        <v>43009</v>
      </c>
      <c r="C52" s="45">
        <v>116847</v>
      </c>
      <c r="D52" s="40">
        <v>10861.055</v>
      </c>
      <c r="E52" s="395">
        <v>211</v>
      </c>
      <c r="F52" s="45">
        <v>284</v>
      </c>
      <c r="G52" s="41">
        <v>3266</v>
      </c>
      <c r="H52" s="42"/>
      <c r="I52" s="43"/>
      <c r="J52" s="389"/>
      <c r="K52" s="389"/>
      <c r="L52" s="41"/>
      <c r="M52" s="42"/>
      <c r="N52" s="43"/>
      <c r="O52" s="389"/>
      <c r="P52" s="389"/>
      <c r="Q52" s="41"/>
      <c r="R52" s="42"/>
      <c r="S52" s="39"/>
      <c r="T52" s="39"/>
      <c r="U52" s="392"/>
      <c r="V52" s="41"/>
      <c r="W52" s="42"/>
      <c r="X52" s="39"/>
      <c r="Y52" s="39"/>
      <c r="Z52" s="392"/>
      <c r="AA52" s="352"/>
      <c r="AD52" s="460">
        <f>#REF!</f>
        <v>43009</v>
      </c>
      <c r="AE52" s="47">
        <v>0</v>
      </c>
      <c r="AF52" s="40"/>
      <c r="AG52" s="461">
        <f>IF(Table5[[#This Row],[Gas usage (ccf or therms)]]=0,0,29.31*Table5[[#This Row],[Gas usage (ccf or therms)]])</f>
        <v>0</v>
      </c>
    </row>
    <row r="53" spans="2:33" ht="20.15" customHeight="1">
      <c r="B53" s="55">
        <f t="shared" si="2"/>
        <v>43040</v>
      </c>
      <c r="C53" s="45">
        <v>152131</v>
      </c>
      <c r="D53" s="40">
        <v>13465.015000000001</v>
      </c>
      <c r="E53" s="395">
        <v>261</v>
      </c>
      <c r="F53" s="45">
        <v>284</v>
      </c>
      <c r="G53" s="41">
        <v>3576.5</v>
      </c>
      <c r="H53" s="42"/>
      <c r="I53" s="43"/>
      <c r="J53" s="389"/>
      <c r="K53" s="389"/>
      <c r="L53" s="41"/>
      <c r="M53" s="42"/>
      <c r="N53" s="43"/>
      <c r="O53" s="389"/>
      <c r="P53" s="389"/>
      <c r="Q53" s="41"/>
      <c r="R53" s="42"/>
      <c r="S53" s="39"/>
      <c r="T53" s="39"/>
      <c r="U53" s="392"/>
      <c r="V53" s="41"/>
      <c r="W53" s="42"/>
      <c r="X53" s="39"/>
      <c r="Y53" s="39"/>
      <c r="Z53" s="392"/>
      <c r="AA53" s="352"/>
      <c r="AD53" s="460">
        <f>#REF!</f>
        <v>43040</v>
      </c>
      <c r="AE53" s="47">
        <v>0</v>
      </c>
      <c r="AF53" s="40"/>
      <c r="AG53" s="461">
        <f>IF(Table5[[#This Row],[Gas usage (ccf or therms)]]=0,0,29.31*Table5[[#This Row],[Gas usage (ccf or therms)]])</f>
        <v>0</v>
      </c>
    </row>
    <row r="54" spans="2:33" ht="20.15" customHeight="1">
      <c r="B54" s="55">
        <f t="shared" si="2"/>
        <v>43070</v>
      </c>
      <c r="C54" s="48">
        <v>172489</v>
      </c>
      <c r="D54" s="40">
        <v>14684.785</v>
      </c>
      <c r="E54" s="395">
        <v>302</v>
      </c>
      <c r="F54" s="45">
        <v>302</v>
      </c>
      <c r="G54" s="41">
        <v>3473</v>
      </c>
      <c r="H54" s="42"/>
      <c r="I54" s="43"/>
      <c r="J54" s="389"/>
      <c r="K54" s="389"/>
      <c r="L54" s="41"/>
      <c r="M54" s="42"/>
      <c r="N54" s="43"/>
      <c r="O54" s="389"/>
      <c r="P54" s="389"/>
      <c r="Q54" s="41"/>
      <c r="R54" s="42"/>
      <c r="S54" s="39"/>
      <c r="T54" s="39"/>
      <c r="U54" s="392"/>
      <c r="V54" s="41"/>
      <c r="W54" s="42"/>
      <c r="X54" s="39"/>
      <c r="Y54" s="39"/>
      <c r="Z54" s="392"/>
      <c r="AA54" s="352"/>
      <c r="AD54" s="460">
        <f>#REF!</f>
        <v>43070</v>
      </c>
      <c r="AE54" s="47">
        <v>0</v>
      </c>
      <c r="AF54" s="40"/>
      <c r="AG54" s="461">
        <f>IF(Table5[[#This Row],[Gas usage (ccf or therms)]]=0,0,29.31*Table5[[#This Row],[Gas usage (ccf or therms)]])</f>
        <v>0</v>
      </c>
    </row>
    <row r="55" spans="2:33" ht="20.15" customHeight="1">
      <c r="B55" s="55">
        <f t="shared" si="2"/>
        <v>43101</v>
      </c>
      <c r="C55" s="48">
        <v>130395</v>
      </c>
      <c r="D55" s="40">
        <v>11454.175000000001</v>
      </c>
      <c r="E55" s="395">
        <v>253</v>
      </c>
      <c r="F55" s="45">
        <v>259</v>
      </c>
      <c r="G55" s="41">
        <v>2978.5</v>
      </c>
      <c r="H55" s="42"/>
      <c r="I55" s="43"/>
      <c r="J55" s="389"/>
      <c r="K55" s="389"/>
      <c r="L55" s="41"/>
      <c r="M55" s="42"/>
      <c r="N55" s="43"/>
      <c r="O55" s="389"/>
      <c r="P55" s="389"/>
      <c r="Q55" s="41"/>
      <c r="R55" s="42"/>
      <c r="S55" s="39"/>
      <c r="T55" s="39"/>
      <c r="U55" s="392"/>
      <c r="V55" s="41"/>
      <c r="W55" s="42"/>
      <c r="X55" s="39"/>
      <c r="Y55" s="39"/>
      <c r="Z55" s="392"/>
      <c r="AA55" s="352"/>
      <c r="AD55" s="460">
        <f>#REF!</f>
        <v>43101</v>
      </c>
      <c r="AE55" s="47">
        <v>0</v>
      </c>
      <c r="AF55" s="40"/>
      <c r="AG55" s="461">
        <f>IF(Table5[[#This Row],[Gas usage (ccf or therms)]]=0,0,29.31*Table5[[#This Row],[Gas usage (ccf or therms)]])</f>
        <v>0</v>
      </c>
    </row>
    <row r="56" spans="2:33" ht="20.15" customHeight="1">
      <c r="B56" s="55">
        <f t="shared" si="2"/>
        <v>43132</v>
      </c>
      <c r="C56" s="48">
        <v>153990</v>
      </c>
      <c r="D56" s="40">
        <v>12953.35</v>
      </c>
      <c r="E56" s="395">
        <v>256</v>
      </c>
      <c r="F56" s="45">
        <v>256</v>
      </c>
      <c r="G56" s="41">
        <v>2944</v>
      </c>
      <c r="H56" s="42"/>
      <c r="I56" s="43"/>
      <c r="J56" s="389"/>
      <c r="K56" s="389"/>
      <c r="L56" s="41"/>
      <c r="M56" s="42"/>
      <c r="N56" s="43"/>
      <c r="O56" s="389"/>
      <c r="P56" s="389"/>
      <c r="Q56" s="41"/>
      <c r="R56" s="42"/>
      <c r="S56" s="39"/>
      <c r="T56" s="39"/>
      <c r="U56" s="392"/>
      <c r="V56" s="41"/>
      <c r="W56" s="42"/>
      <c r="X56" s="39"/>
      <c r="Y56" s="39"/>
      <c r="Z56" s="392"/>
      <c r="AA56" s="352"/>
      <c r="AD56" s="460">
        <f>#REF!</f>
        <v>43132</v>
      </c>
      <c r="AE56" s="47">
        <v>0</v>
      </c>
      <c r="AF56" s="40"/>
      <c r="AG56" s="461">
        <f>IF(Table5[[#This Row],[Gas usage (ccf or therms)]]=0,0,29.31*Table5[[#This Row],[Gas usage (ccf or therms)]])</f>
        <v>0</v>
      </c>
    </row>
    <row r="57" spans="2:33" ht="20.15" customHeight="1">
      <c r="B57" s="55">
        <f t="shared" si="2"/>
        <v>43160</v>
      </c>
      <c r="C57" s="48">
        <v>194594</v>
      </c>
      <c r="D57" s="40">
        <v>16696.61</v>
      </c>
      <c r="E57" s="395">
        <v>352</v>
      </c>
      <c r="F57" s="45">
        <v>352</v>
      </c>
      <c r="G57" s="41">
        <v>4048</v>
      </c>
      <c r="H57" s="42"/>
      <c r="I57" s="43"/>
      <c r="J57" s="389"/>
      <c r="K57" s="389"/>
      <c r="L57" s="41"/>
      <c r="M57" s="42"/>
      <c r="N57" s="43"/>
      <c r="O57" s="389"/>
      <c r="P57" s="389"/>
      <c r="Q57" s="41"/>
      <c r="R57" s="42"/>
      <c r="S57" s="39"/>
      <c r="T57" s="39"/>
      <c r="U57" s="392"/>
      <c r="V57" s="41"/>
      <c r="W57" s="42"/>
      <c r="X57" s="39"/>
      <c r="Y57" s="39"/>
      <c r="Z57" s="392"/>
      <c r="AA57" s="352"/>
      <c r="AD57" s="460">
        <f>#REF!</f>
        <v>43160</v>
      </c>
      <c r="AE57" s="47">
        <v>0</v>
      </c>
      <c r="AF57" s="40"/>
      <c r="AG57" s="461">
        <f>IF(Table5[[#This Row],[Gas usage (ccf or therms)]]=0,0,29.31*Table5[[#This Row],[Gas usage (ccf or therms)]])</f>
        <v>0</v>
      </c>
    </row>
    <row r="58" spans="2:33" ht="20.15" customHeight="1">
      <c r="B58" s="55">
        <f t="shared" si="2"/>
        <v>43191</v>
      </c>
      <c r="C58" s="45">
        <v>165958</v>
      </c>
      <c r="D58" s="40">
        <v>13995.77</v>
      </c>
      <c r="E58" s="395">
        <v>279</v>
      </c>
      <c r="F58" s="45">
        <v>279</v>
      </c>
      <c r="G58" s="41">
        <v>3208.5</v>
      </c>
      <c r="H58" s="42"/>
      <c r="I58" s="43"/>
      <c r="J58" s="389"/>
      <c r="K58" s="389"/>
      <c r="L58" s="41"/>
      <c r="M58" s="42"/>
      <c r="N58" s="43"/>
      <c r="O58" s="389"/>
      <c r="P58" s="389"/>
      <c r="Q58" s="41"/>
      <c r="R58" s="42"/>
      <c r="S58" s="39"/>
      <c r="T58" s="39"/>
      <c r="U58" s="392"/>
      <c r="V58" s="41"/>
      <c r="W58" s="42"/>
      <c r="X58" s="39"/>
      <c r="Y58" s="39"/>
      <c r="Z58" s="392"/>
      <c r="AA58" s="352"/>
      <c r="AD58" s="460">
        <f>#REF!</f>
        <v>43191</v>
      </c>
      <c r="AE58" s="47">
        <v>0</v>
      </c>
      <c r="AF58" s="40"/>
      <c r="AG58" s="461">
        <f>IF(Table5[[#This Row],[Gas usage (ccf or therms)]]=0,0,29.31*Table5[[#This Row],[Gas usage (ccf or therms)]])</f>
        <v>0</v>
      </c>
    </row>
    <row r="59" spans="2:33" ht="20.15" customHeight="1">
      <c r="B59" s="55">
        <f t="shared" si="2"/>
        <v>43221</v>
      </c>
      <c r="C59" s="45">
        <v>130758</v>
      </c>
      <c r="D59" s="40">
        <v>11328.27</v>
      </c>
      <c r="E59" s="395">
        <v>239</v>
      </c>
      <c r="F59" s="45">
        <v>246</v>
      </c>
      <c r="G59" s="41">
        <v>2829</v>
      </c>
      <c r="H59" s="42"/>
      <c r="I59" s="43"/>
      <c r="J59" s="389"/>
      <c r="K59" s="389"/>
      <c r="L59" s="41"/>
      <c r="M59" s="42"/>
      <c r="N59" s="43"/>
      <c r="O59" s="389"/>
      <c r="P59" s="389"/>
      <c r="Q59" s="41"/>
      <c r="R59" s="42"/>
      <c r="S59" s="39"/>
      <c r="T59" s="39"/>
      <c r="U59" s="392"/>
      <c r="V59" s="41"/>
      <c r="W59" s="42"/>
      <c r="X59" s="39"/>
      <c r="Y59" s="39"/>
      <c r="Z59" s="392"/>
      <c r="AA59" s="352"/>
      <c r="AD59" s="460">
        <f>#REF!</f>
        <v>43221</v>
      </c>
      <c r="AE59" s="47">
        <v>0</v>
      </c>
      <c r="AF59" s="40"/>
      <c r="AG59" s="461">
        <f>IF(Table5[[#This Row],[Gas usage (ccf or therms)]]=0,0,29.31*Table5[[#This Row],[Gas usage (ccf or therms)]])</f>
        <v>0</v>
      </c>
    </row>
    <row r="60" spans="2:33" ht="20.15" customHeight="1" thickBot="1">
      <c r="B60" s="449">
        <f t="shared" si="2"/>
        <v>43252</v>
      </c>
      <c r="C60" s="272">
        <v>131804</v>
      </c>
      <c r="D60" s="266">
        <v>11396.26</v>
      </c>
      <c r="E60" s="396">
        <v>221</v>
      </c>
      <c r="F60" s="265">
        <v>246</v>
      </c>
      <c r="G60" s="267">
        <v>2829</v>
      </c>
      <c r="H60" s="268"/>
      <c r="I60" s="269"/>
      <c r="J60" s="390"/>
      <c r="K60" s="390"/>
      <c r="L60" s="267"/>
      <c r="M60" s="268"/>
      <c r="N60" s="269"/>
      <c r="O60" s="390"/>
      <c r="P60" s="390"/>
      <c r="Q60" s="267"/>
      <c r="R60" s="268"/>
      <c r="S60" s="272"/>
      <c r="T60" s="272"/>
      <c r="U60" s="393"/>
      <c r="V60" s="267"/>
      <c r="W60" s="268"/>
      <c r="X60" s="272"/>
      <c r="Y60" s="272"/>
      <c r="Z60" s="393"/>
      <c r="AA60" s="353"/>
      <c r="AD60" s="462">
        <f>#REF!</f>
        <v>43252</v>
      </c>
      <c r="AE60" s="463">
        <v>0</v>
      </c>
      <c r="AF60" s="266"/>
      <c r="AG60" s="464">
        <f>IF(Table5[[#This Row],[Gas usage (ccf or therms)]]=0,0,29.31*Table5[[#This Row],[Gas usage (ccf or therms)]])</f>
        <v>0</v>
      </c>
    </row>
    <row r="61" spans="2:33" ht="20.15" customHeight="1">
      <c r="B61" s="450">
        <f t="shared" si="2"/>
        <v>43282</v>
      </c>
      <c r="C61" s="271">
        <v>181848</v>
      </c>
      <c r="D61" s="64">
        <v>15523.12</v>
      </c>
      <c r="E61" s="397">
        <v>322</v>
      </c>
      <c r="F61" s="260">
        <v>322</v>
      </c>
      <c r="G61" s="261">
        <v>3703</v>
      </c>
      <c r="H61" s="262"/>
      <c r="I61" s="263"/>
      <c r="J61" s="391"/>
      <c r="K61" s="391"/>
      <c r="L61" s="261"/>
      <c r="M61" s="262"/>
      <c r="N61" s="263"/>
      <c r="O61" s="391"/>
      <c r="P61" s="391"/>
      <c r="Q61" s="261"/>
      <c r="R61" s="262"/>
      <c r="S61" s="271"/>
      <c r="T61" s="271"/>
      <c r="U61" s="394"/>
      <c r="V61" s="261"/>
      <c r="W61" s="262"/>
      <c r="X61" s="271"/>
      <c r="Y61" s="271"/>
      <c r="Z61" s="394"/>
      <c r="AA61" s="354"/>
      <c r="AD61" s="456">
        <f>#REF!</f>
        <v>43282</v>
      </c>
      <c r="AE61" s="457">
        <v>0</v>
      </c>
      <c r="AF61" s="458"/>
      <c r="AG61" s="459">
        <f>IF(Table5[[#This Row],[Gas usage (ccf or therms)]]=0,0,29.31*Table5[[#This Row],[Gas usage (ccf or therms)]])</f>
        <v>0</v>
      </c>
    </row>
    <row r="62" spans="2:33" ht="20.15" customHeight="1">
      <c r="B62" s="451">
        <f t="shared" si="2"/>
        <v>43313</v>
      </c>
      <c r="C62" s="39">
        <v>160030</v>
      </c>
      <c r="D62" s="40">
        <v>13529.95</v>
      </c>
      <c r="E62" s="395">
        <v>272</v>
      </c>
      <c r="F62" s="45">
        <v>272</v>
      </c>
      <c r="G62" s="41">
        <v>3128</v>
      </c>
      <c r="H62" s="42"/>
      <c r="I62" s="43"/>
      <c r="J62" s="389"/>
      <c r="K62" s="389"/>
      <c r="L62" s="41"/>
      <c r="M62" s="42"/>
      <c r="N62" s="43"/>
      <c r="O62" s="389"/>
      <c r="P62" s="389"/>
      <c r="Q62" s="41"/>
      <c r="R62" s="42"/>
      <c r="S62" s="39"/>
      <c r="T62" s="39"/>
      <c r="U62" s="392"/>
      <c r="V62" s="41"/>
      <c r="W62" s="42"/>
      <c r="X62" s="39"/>
      <c r="Y62" s="39"/>
      <c r="Z62" s="392"/>
      <c r="AA62" s="352"/>
      <c r="AD62" s="460">
        <f>#REF!</f>
        <v>43313</v>
      </c>
      <c r="AE62" s="47">
        <v>0</v>
      </c>
      <c r="AF62" s="40"/>
      <c r="AG62" s="461">
        <f>IF(Table5[[#This Row],[Gas usage (ccf or therms)]]=0,0,29.31*Table5[[#This Row],[Gas usage (ccf or therms)]])</f>
        <v>0</v>
      </c>
    </row>
    <row r="63" spans="2:33" ht="20.15" customHeight="1">
      <c r="B63" s="451">
        <f t="shared" si="2"/>
        <v>43344</v>
      </c>
      <c r="C63" s="39">
        <v>173426</v>
      </c>
      <c r="D63" s="40">
        <v>14527.19</v>
      </c>
      <c r="E63" s="395">
        <v>283</v>
      </c>
      <c r="F63" s="45">
        <v>283</v>
      </c>
      <c r="G63" s="41">
        <v>3254.5</v>
      </c>
      <c r="H63" s="42"/>
      <c r="I63" s="43"/>
      <c r="J63" s="389"/>
      <c r="K63" s="389"/>
      <c r="L63" s="41"/>
      <c r="M63" s="42"/>
      <c r="N63" s="43"/>
      <c r="O63" s="389"/>
      <c r="P63" s="389"/>
      <c r="Q63" s="41"/>
      <c r="R63" s="42"/>
      <c r="S63" s="39"/>
      <c r="T63" s="39"/>
      <c r="U63" s="392"/>
      <c r="V63" s="41"/>
      <c r="W63" s="42"/>
      <c r="X63" s="39"/>
      <c r="Y63" s="39"/>
      <c r="Z63" s="392"/>
      <c r="AA63" s="352"/>
      <c r="AD63" s="460">
        <f>#REF!</f>
        <v>43344</v>
      </c>
      <c r="AE63" s="47">
        <v>0</v>
      </c>
      <c r="AF63" s="40"/>
      <c r="AG63" s="461">
        <f>IF(Table5[[#This Row],[Gas usage (ccf or therms)]]=0,0,29.31*Table5[[#This Row],[Gas usage (ccf or therms)]])</f>
        <v>0</v>
      </c>
    </row>
    <row r="64" spans="2:33" ht="20.15" customHeight="1">
      <c r="B64" s="451">
        <f t="shared" si="2"/>
        <v>43374</v>
      </c>
      <c r="C64" s="49">
        <v>146392</v>
      </c>
      <c r="D64" s="40">
        <v>12378.98</v>
      </c>
      <c r="E64" s="395">
        <v>249</v>
      </c>
      <c r="F64" s="45">
        <v>249</v>
      </c>
      <c r="G64" s="41">
        <v>2863.5</v>
      </c>
      <c r="H64" s="42"/>
      <c r="I64" s="43"/>
      <c r="J64" s="389"/>
      <c r="K64" s="389"/>
      <c r="L64" s="41"/>
      <c r="M64" s="42"/>
      <c r="N64" s="43"/>
      <c r="O64" s="389"/>
      <c r="P64" s="389"/>
      <c r="Q64" s="41"/>
      <c r="R64" s="42"/>
      <c r="S64" s="39"/>
      <c r="T64" s="39"/>
      <c r="U64" s="392"/>
      <c r="V64" s="41"/>
      <c r="W64" s="42"/>
      <c r="X64" s="39"/>
      <c r="Y64" s="39"/>
      <c r="Z64" s="392"/>
      <c r="AA64" s="352"/>
      <c r="AD64" s="460">
        <f>#REF!</f>
        <v>43374</v>
      </c>
      <c r="AE64" s="47">
        <v>0</v>
      </c>
      <c r="AF64" s="40"/>
      <c r="AG64" s="461">
        <f>IF(Table5[[#This Row],[Gas usage (ccf or therms)]]=0,0,29.31*Table5[[#This Row],[Gas usage (ccf or therms)]])</f>
        <v>0</v>
      </c>
    </row>
    <row r="65" spans="2:33" ht="20.15" customHeight="1">
      <c r="B65" s="451">
        <f t="shared" si="2"/>
        <v>43405</v>
      </c>
      <c r="C65" s="39">
        <v>141007</v>
      </c>
      <c r="D65" s="40">
        <v>11994.455</v>
      </c>
      <c r="E65" s="395">
        <v>237</v>
      </c>
      <c r="F65" s="45">
        <v>246</v>
      </c>
      <c r="G65" s="41">
        <v>2829</v>
      </c>
      <c r="H65" s="42"/>
      <c r="I65" s="43"/>
      <c r="J65" s="389"/>
      <c r="K65" s="389"/>
      <c r="L65" s="41"/>
      <c r="M65" s="42"/>
      <c r="N65" s="43"/>
      <c r="O65" s="389"/>
      <c r="P65" s="389"/>
      <c r="Q65" s="41"/>
      <c r="R65" s="42"/>
      <c r="S65" s="39"/>
      <c r="T65" s="39"/>
      <c r="U65" s="392"/>
      <c r="V65" s="41"/>
      <c r="W65" s="42"/>
      <c r="X65" s="39"/>
      <c r="Y65" s="39"/>
      <c r="Z65" s="392"/>
      <c r="AA65" s="352"/>
      <c r="AD65" s="460">
        <f>#REF!</f>
        <v>43405</v>
      </c>
      <c r="AE65" s="47">
        <v>0</v>
      </c>
      <c r="AF65" s="40"/>
      <c r="AG65" s="461">
        <f>IF(Table5[[#This Row],[Gas usage (ccf or therms)]]=0,0,29.31*Table5[[#This Row],[Gas usage (ccf or therms)]])</f>
        <v>0</v>
      </c>
    </row>
    <row r="66" spans="2:33" ht="20.15" customHeight="1">
      <c r="B66" s="451">
        <f t="shared" si="2"/>
        <v>43435</v>
      </c>
      <c r="C66" s="39">
        <v>218736</v>
      </c>
      <c r="D66" s="40">
        <v>18403.84</v>
      </c>
      <c r="E66" s="395">
        <v>364</v>
      </c>
      <c r="F66" s="45">
        <v>364</v>
      </c>
      <c r="G66" s="41">
        <v>4186</v>
      </c>
      <c r="H66" s="42"/>
      <c r="I66" s="43"/>
      <c r="J66" s="389"/>
      <c r="K66" s="389"/>
      <c r="L66" s="41"/>
      <c r="M66" s="42"/>
      <c r="N66" s="43"/>
      <c r="O66" s="389"/>
      <c r="P66" s="389"/>
      <c r="Q66" s="41"/>
      <c r="R66" s="42"/>
      <c r="S66" s="39"/>
      <c r="T66" s="39"/>
      <c r="U66" s="392"/>
      <c r="V66" s="41"/>
      <c r="W66" s="42"/>
      <c r="X66" s="39"/>
      <c r="Y66" s="39"/>
      <c r="Z66" s="392"/>
      <c r="AA66" s="352"/>
      <c r="AD66" s="460">
        <f>#REF!</f>
        <v>43435</v>
      </c>
      <c r="AE66" s="47">
        <v>0</v>
      </c>
      <c r="AF66" s="40"/>
      <c r="AG66" s="461">
        <f>IF(Table5[[#This Row],[Gas usage (ccf or therms)]]=0,0,29.31*Table5[[#This Row],[Gas usage (ccf or therms)]])</f>
        <v>0</v>
      </c>
    </row>
    <row r="67" spans="2:33" ht="20.15" customHeight="1">
      <c r="B67" s="451">
        <f t="shared" si="2"/>
        <v>43466</v>
      </c>
      <c r="C67" s="39">
        <v>126444</v>
      </c>
      <c r="D67" s="40">
        <v>11151.36</v>
      </c>
      <c r="E67" s="395">
        <v>245</v>
      </c>
      <c r="F67" s="45">
        <v>255</v>
      </c>
      <c r="G67" s="41">
        <v>2932.5</v>
      </c>
      <c r="H67" s="42"/>
      <c r="I67" s="43"/>
      <c r="J67" s="389"/>
      <c r="K67" s="389"/>
      <c r="L67" s="41"/>
      <c r="M67" s="42"/>
      <c r="N67" s="43"/>
      <c r="O67" s="389"/>
      <c r="P67" s="389"/>
      <c r="Q67" s="41"/>
      <c r="R67" s="42"/>
      <c r="S67" s="39"/>
      <c r="T67" s="39"/>
      <c r="U67" s="392"/>
      <c r="V67" s="41"/>
      <c r="W67" s="42"/>
      <c r="X67" s="39"/>
      <c r="Y67" s="39"/>
      <c r="Z67" s="392"/>
      <c r="AA67" s="352"/>
      <c r="AD67" s="460">
        <f>#REF!</f>
        <v>43466</v>
      </c>
      <c r="AE67" s="47">
        <v>0</v>
      </c>
      <c r="AF67" s="40"/>
      <c r="AG67" s="461">
        <f>IF(Table5[[#This Row],[Gas usage (ccf or therms)]]=0,0,29.31*Table5[[#This Row],[Gas usage (ccf or therms)]])</f>
        <v>0</v>
      </c>
    </row>
    <row r="68" spans="2:33" ht="20.15" customHeight="1">
      <c r="B68" s="451">
        <f t="shared" si="2"/>
        <v>43497</v>
      </c>
      <c r="C68" s="39">
        <v>143491</v>
      </c>
      <c r="D68" s="40">
        <v>12259.415</v>
      </c>
      <c r="E68" s="395">
        <v>254</v>
      </c>
      <c r="F68" s="45">
        <v>255</v>
      </c>
      <c r="G68" s="41">
        <v>2932.5</v>
      </c>
      <c r="H68" s="42"/>
      <c r="I68" s="43"/>
      <c r="J68" s="389"/>
      <c r="K68" s="389"/>
      <c r="L68" s="41"/>
      <c r="M68" s="42"/>
      <c r="N68" s="43"/>
      <c r="O68" s="389"/>
      <c r="P68" s="389"/>
      <c r="Q68" s="41"/>
      <c r="R68" s="42"/>
      <c r="S68" s="39"/>
      <c r="T68" s="39"/>
      <c r="U68" s="392"/>
      <c r="V68" s="41"/>
      <c r="W68" s="42"/>
      <c r="X68" s="39"/>
      <c r="Y68" s="39"/>
      <c r="Z68" s="392"/>
      <c r="AA68" s="352"/>
      <c r="AD68" s="460">
        <f>#REF!</f>
        <v>43497</v>
      </c>
      <c r="AE68" s="47">
        <v>0</v>
      </c>
      <c r="AF68" s="40"/>
      <c r="AG68" s="461">
        <f>IF(Table5[[#This Row],[Gas usage (ccf or therms)]]=0,0,29.31*Table5[[#This Row],[Gas usage (ccf or therms)]])</f>
        <v>0</v>
      </c>
    </row>
    <row r="69" spans="2:33" ht="20.15" customHeight="1">
      <c r="B69" s="451">
        <f t="shared" si="2"/>
        <v>43525</v>
      </c>
      <c r="C69" s="39">
        <v>173396</v>
      </c>
      <c r="D69" s="40">
        <v>14916.24</v>
      </c>
      <c r="E69" s="395">
        <v>317</v>
      </c>
      <c r="F69" s="45">
        <v>317</v>
      </c>
      <c r="G69" s="41">
        <v>3645.5</v>
      </c>
      <c r="H69" s="42"/>
      <c r="I69" s="43"/>
      <c r="J69" s="389"/>
      <c r="K69" s="389"/>
      <c r="L69" s="41"/>
      <c r="M69" s="42"/>
      <c r="N69" s="43"/>
      <c r="O69" s="389"/>
      <c r="P69" s="389"/>
      <c r="Q69" s="41"/>
      <c r="R69" s="42"/>
      <c r="S69" s="39"/>
      <c r="T69" s="39"/>
      <c r="U69" s="392"/>
      <c r="V69" s="41"/>
      <c r="W69" s="42"/>
      <c r="X69" s="39"/>
      <c r="Y69" s="39"/>
      <c r="Z69" s="392"/>
      <c r="AA69" s="352"/>
      <c r="AD69" s="460">
        <f>#REF!</f>
        <v>43525</v>
      </c>
      <c r="AE69" s="47">
        <v>0</v>
      </c>
      <c r="AF69" s="40"/>
      <c r="AG69" s="461">
        <f>IF(Table5[[#This Row],[Gas usage (ccf or therms)]]=0,0,29.31*Table5[[#This Row],[Gas usage (ccf or therms)]])</f>
        <v>0</v>
      </c>
    </row>
    <row r="70" spans="2:33" ht="20.15" customHeight="1">
      <c r="B70" s="451">
        <f t="shared" si="2"/>
        <v>43556</v>
      </c>
      <c r="C70" s="39">
        <v>151865</v>
      </c>
      <c r="D70" s="40">
        <v>12930.225</v>
      </c>
      <c r="E70" s="395">
        <v>266</v>
      </c>
      <c r="F70" s="45">
        <v>266</v>
      </c>
      <c r="G70" s="41">
        <v>3059</v>
      </c>
      <c r="H70" s="42"/>
      <c r="I70" s="43"/>
      <c r="J70" s="389"/>
      <c r="K70" s="389"/>
      <c r="L70" s="41"/>
      <c r="M70" s="42"/>
      <c r="N70" s="43"/>
      <c r="O70" s="389"/>
      <c r="P70" s="389"/>
      <c r="Q70" s="41"/>
      <c r="R70" s="42"/>
      <c r="S70" s="39"/>
      <c r="T70" s="39"/>
      <c r="U70" s="392"/>
      <c r="V70" s="41"/>
      <c r="W70" s="42"/>
      <c r="X70" s="39"/>
      <c r="Y70" s="39"/>
      <c r="Z70" s="392"/>
      <c r="AA70" s="352"/>
      <c r="AD70" s="460">
        <f>#REF!</f>
        <v>43556</v>
      </c>
      <c r="AE70" s="47">
        <v>0</v>
      </c>
      <c r="AF70" s="40"/>
      <c r="AG70" s="461">
        <f>IF(Table5[[#This Row],[Gas usage (ccf or therms)]]=0,0,29.31*Table5[[#This Row],[Gas usage (ccf or therms)]])</f>
        <v>0</v>
      </c>
    </row>
    <row r="71" spans="2:33" ht="20.15" customHeight="1">
      <c r="B71" s="451">
        <f t="shared" si="2"/>
        <v>43586</v>
      </c>
      <c r="C71" s="39">
        <v>175135</v>
      </c>
      <c r="D71" s="40">
        <v>15063.775</v>
      </c>
      <c r="E71" s="395">
        <v>320</v>
      </c>
      <c r="F71" s="45">
        <v>320</v>
      </c>
      <c r="G71" s="41">
        <v>3680</v>
      </c>
      <c r="H71" s="42"/>
      <c r="I71" s="43"/>
      <c r="J71" s="389"/>
      <c r="K71" s="389"/>
      <c r="L71" s="41"/>
      <c r="M71" s="42"/>
      <c r="N71" s="43"/>
      <c r="O71" s="389"/>
      <c r="P71" s="389"/>
      <c r="Q71" s="41"/>
      <c r="R71" s="42"/>
      <c r="S71" s="39"/>
      <c r="T71" s="39"/>
      <c r="U71" s="392"/>
      <c r="V71" s="41"/>
      <c r="W71" s="42"/>
      <c r="X71" s="39"/>
      <c r="Y71" s="39"/>
      <c r="Z71" s="392"/>
      <c r="AA71" s="352"/>
      <c r="AD71" s="460">
        <f>#REF!</f>
        <v>43586</v>
      </c>
      <c r="AE71" s="47">
        <v>0</v>
      </c>
      <c r="AF71" s="40"/>
      <c r="AG71" s="461">
        <f>IF(Table5[[#This Row],[Gas usage (ccf or therms)]]=0,0,29.31*Table5[[#This Row],[Gas usage (ccf or therms)]])</f>
        <v>0</v>
      </c>
    </row>
    <row r="72" spans="2:33" ht="20.15" customHeight="1" thickBot="1">
      <c r="B72" s="452">
        <f t="shared" si="2"/>
        <v>43617</v>
      </c>
      <c r="C72" s="272">
        <v>130335</v>
      </c>
      <c r="D72" s="266">
        <v>11404.275</v>
      </c>
      <c r="E72" s="396">
        <v>221</v>
      </c>
      <c r="F72" s="265">
        <v>255</v>
      </c>
      <c r="G72" s="267">
        <v>2932.5</v>
      </c>
      <c r="H72" s="268"/>
      <c r="I72" s="269"/>
      <c r="J72" s="390"/>
      <c r="K72" s="390"/>
      <c r="L72" s="267"/>
      <c r="M72" s="268"/>
      <c r="N72" s="269"/>
      <c r="O72" s="390"/>
      <c r="P72" s="390"/>
      <c r="Q72" s="267"/>
      <c r="R72" s="268"/>
      <c r="S72" s="272"/>
      <c r="T72" s="272"/>
      <c r="U72" s="393"/>
      <c r="V72" s="267"/>
      <c r="W72" s="268"/>
      <c r="X72" s="272"/>
      <c r="Y72" s="272"/>
      <c r="Z72" s="393"/>
      <c r="AA72" s="353"/>
      <c r="AD72" s="462">
        <f>#REF!</f>
        <v>43617</v>
      </c>
      <c r="AE72" s="463">
        <v>0</v>
      </c>
      <c r="AF72" s="266"/>
      <c r="AG72" s="464">
        <f>IF(Table5[[#This Row],[Gas usage (ccf or therms)]]=0,0,29.31*Table5[[#This Row],[Gas usage (ccf or therms)]])</f>
        <v>0</v>
      </c>
    </row>
    <row r="73" spans="2:33" ht="20.15" customHeight="1">
      <c r="B73" s="450">
        <f t="shared" si="2"/>
        <v>43647</v>
      </c>
      <c r="C73" s="271">
        <v>173301</v>
      </c>
      <c r="D73" s="64">
        <v>14680.065</v>
      </c>
      <c r="E73" s="397">
        <v>297</v>
      </c>
      <c r="F73" s="260">
        <v>297</v>
      </c>
      <c r="G73" s="261">
        <v>3415.5</v>
      </c>
      <c r="H73" s="262"/>
      <c r="I73" s="263"/>
      <c r="J73" s="391"/>
      <c r="K73" s="391"/>
      <c r="L73" s="261"/>
      <c r="M73" s="262"/>
      <c r="N73" s="263"/>
      <c r="O73" s="391"/>
      <c r="P73" s="391"/>
      <c r="Q73" s="261"/>
      <c r="R73" s="262"/>
      <c r="S73" s="271"/>
      <c r="T73" s="271"/>
      <c r="U73" s="394"/>
      <c r="V73" s="261"/>
      <c r="W73" s="262"/>
      <c r="X73" s="271"/>
      <c r="Y73" s="271"/>
      <c r="Z73" s="394"/>
      <c r="AA73" s="354"/>
      <c r="AD73" s="456">
        <f>#REF!</f>
        <v>43647</v>
      </c>
      <c r="AE73" s="457">
        <v>0</v>
      </c>
      <c r="AF73" s="458"/>
      <c r="AG73" s="459">
        <f>IF(Table5[[#This Row],[Gas usage (ccf or therms)]]=0,0,29.31*Table5[[#This Row],[Gas usage (ccf or therms)]])</f>
        <v>0</v>
      </c>
    </row>
    <row r="74" spans="2:33" ht="20.15" customHeight="1">
      <c r="B74" s="451">
        <f t="shared" si="2"/>
        <v>43678</v>
      </c>
      <c r="C74" s="39">
        <v>163674</v>
      </c>
      <c r="D74" s="40">
        <v>14008.31</v>
      </c>
      <c r="E74" s="395">
        <v>293</v>
      </c>
      <c r="F74" s="45">
        <v>293</v>
      </c>
      <c r="G74" s="41">
        <v>3369.5</v>
      </c>
      <c r="H74" s="42"/>
      <c r="I74" s="43"/>
      <c r="J74" s="389"/>
      <c r="K74" s="389"/>
      <c r="L74" s="41"/>
      <c r="M74" s="42"/>
      <c r="N74" s="43"/>
      <c r="O74" s="389"/>
      <c r="P74" s="389"/>
      <c r="Q74" s="41"/>
      <c r="R74" s="42"/>
      <c r="S74" s="39"/>
      <c r="T74" s="39"/>
      <c r="U74" s="392"/>
      <c r="V74" s="41"/>
      <c r="W74" s="42"/>
      <c r="X74" s="39"/>
      <c r="Y74" s="39"/>
      <c r="Z74" s="392"/>
      <c r="AA74" s="352"/>
      <c r="AD74" s="460">
        <f>#REF!</f>
        <v>43678</v>
      </c>
      <c r="AE74" s="47">
        <v>0</v>
      </c>
      <c r="AF74" s="40"/>
      <c r="AG74" s="461">
        <f>IF(Table5[[#This Row],[Gas usage (ccf or therms)]]=0,0,29.31*Table5[[#This Row],[Gas usage (ccf or therms)]])</f>
        <v>0</v>
      </c>
    </row>
    <row r="75" spans="2:33" ht="20.15" customHeight="1">
      <c r="B75" s="451">
        <f t="shared" si="2"/>
        <v>43709</v>
      </c>
      <c r="C75" s="39">
        <v>123151</v>
      </c>
      <c r="D75" s="40">
        <v>10937.315</v>
      </c>
      <c r="E75" s="395">
        <v>213</v>
      </c>
      <c r="F75" s="45">
        <v>255</v>
      </c>
      <c r="G75" s="41">
        <v>2932.5</v>
      </c>
      <c r="H75" s="42"/>
      <c r="I75" s="43"/>
      <c r="J75" s="389"/>
      <c r="K75" s="389"/>
      <c r="L75" s="41"/>
      <c r="M75" s="42"/>
      <c r="N75" s="43"/>
      <c r="O75" s="389"/>
      <c r="P75" s="389"/>
      <c r="Q75" s="41"/>
      <c r="R75" s="42"/>
      <c r="S75" s="39"/>
      <c r="T75" s="39"/>
      <c r="U75" s="392"/>
      <c r="V75" s="41"/>
      <c r="W75" s="42"/>
      <c r="X75" s="39"/>
      <c r="Y75" s="39"/>
      <c r="Z75" s="392"/>
      <c r="AA75" s="352"/>
      <c r="AD75" s="460">
        <f>#REF!</f>
        <v>43709</v>
      </c>
      <c r="AE75" s="47">
        <v>0</v>
      </c>
      <c r="AF75" s="40"/>
      <c r="AG75" s="461">
        <f>IF(Table5[[#This Row],[Gas usage (ccf or therms)]]=0,0,29.31*Table5[[#This Row],[Gas usage (ccf or therms)]])</f>
        <v>0</v>
      </c>
    </row>
    <row r="76" spans="2:33" ht="20.15" customHeight="1">
      <c r="B76" s="451">
        <f t="shared" si="2"/>
        <v>43739</v>
      </c>
      <c r="C76" s="39">
        <v>127492</v>
      </c>
      <c r="D76" s="40">
        <v>11219.48</v>
      </c>
      <c r="E76" s="395">
        <v>226</v>
      </c>
      <c r="F76" s="45">
        <v>255</v>
      </c>
      <c r="G76" s="41">
        <v>2932.5</v>
      </c>
      <c r="H76" s="42"/>
      <c r="I76" s="43"/>
      <c r="J76" s="389"/>
      <c r="K76" s="389"/>
      <c r="L76" s="41"/>
      <c r="M76" s="42"/>
      <c r="N76" s="43"/>
      <c r="O76" s="389"/>
      <c r="P76" s="389"/>
      <c r="Q76" s="41"/>
      <c r="R76" s="42"/>
      <c r="S76" s="39"/>
      <c r="T76" s="39"/>
      <c r="U76" s="392"/>
      <c r="V76" s="41"/>
      <c r="W76" s="42"/>
      <c r="X76" s="39"/>
      <c r="Y76" s="39"/>
      <c r="Z76" s="392"/>
      <c r="AA76" s="352"/>
      <c r="AD76" s="460">
        <f>#REF!</f>
        <v>43739</v>
      </c>
      <c r="AE76" s="47">
        <v>0</v>
      </c>
      <c r="AF76" s="40"/>
      <c r="AG76" s="461">
        <f>IF(Table5[[#This Row],[Gas usage (ccf or therms)]]=0,0,29.31*Table5[[#This Row],[Gas usage (ccf or therms)]])</f>
        <v>0</v>
      </c>
    </row>
    <row r="77" spans="2:33" ht="20.15" customHeight="1">
      <c r="B77" s="451">
        <f t="shared" si="2"/>
        <v>43770</v>
      </c>
      <c r="C77" s="39">
        <v>145542</v>
      </c>
      <c r="D77" s="40">
        <v>12392.73</v>
      </c>
      <c r="E77" s="395">
        <v>247</v>
      </c>
      <c r="F77" s="45">
        <v>255</v>
      </c>
      <c r="G77" s="41">
        <v>2932.5</v>
      </c>
      <c r="H77" s="42"/>
      <c r="I77" s="43"/>
      <c r="J77" s="389"/>
      <c r="K77" s="389"/>
      <c r="L77" s="41"/>
      <c r="M77" s="42"/>
      <c r="N77" s="43"/>
      <c r="O77" s="389"/>
      <c r="P77" s="389"/>
      <c r="Q77" s="41"/>
      <c r="R77" s="42"/>
      <c r="S77" s="39"/>
      <c r="T77" s="39"/>
      <c r="U77" s="392"/>
      <c r="V77" s="41"/>
      <c r="W77" s="42"/>
      <c r="X77" s="39"/>
      <c r="Y77" s="39"/>
      <c r="Z77" s="392"/>
      <c r="AA77" s="352"/>
      <c r="AD77" s="460">
        <f>#REF!</f>
        <v>43770</v>
      </c>
      <c r="AE77" s="47">
        <v>0</v>
      </c>
      <c r="AF77" s="40"/>
      <c r="AG77" s="461">
        <f>IF(Table5[[#This Row],[Gas usage (ccf or therms)]]=0,0,29.31*Table5[[#This Row],[Gas usage (ccf or therms)]])</f>
        <v>0</v>
      </c>
    </row>
    <row r="78" spans="2:33" ht="20.15" customHeight="1">
      <c r="B78" s="451">
        <f t="shared" si="2"/>
        <v>43800</v>
      </c>
      <c r="C78" s="39">
        <v>163408</v>
      </c>
      <c r="D78" s="40">
        <v>14017.52</v>
      </c>
      <c r="E78" s="395">
        <v>283</v>
      </c>
      <c r="F78" s="45">
        <v>283</v>
      </c>
      <c r="G78" s="41">
        <v>3396</v>
      </c>
      <c r="H78" s="42"/>
      <c r="I78" s="43"/>
      <c r="J78" s="389"/>
      <c r="K78" s="389"/>
      <c r="L78" s="41"/>
      <c r="M78" s="42"/>
      <c r="N78" s="43"/>
      <c r="O78" s="389"/>
      <c r="P78" s="389"/>
      <c r="Q78" s="41"/>
      <c r="R78" s="42"/>
      <c r="S78" s="39"/>
      <c r="T78" s="39"/>
      <c r="U78" s="392"/>
      <c r="V78" s="41"/>
      <c r="W78" s="42"/>
      <c r="X78" s="39"/>
      <c r="Y78" s="39"/>
      <c r="Z78" s="392"/>
      <c r="AA78" s="352"/>
      <c r="AD78" s="460">
        <f>#REF!</f>
        <v>43800</v>
      </c>
      <c r="AE78" s="47">
        <v>0</v>
      </c>
      <c r="AF78" s="40"/>
      <c r="AG78" s="461">
        <f>IF(Table5[[#This Row],[Gas usage (ccf or therms)]]=0,0,29.31*Table5[[#This Row],[Gas usage (ccf or therms)]])</f>
        <v>0</v>
      </c>
    </row>
    <row r="79" spans="2:33" ht="20.15" customHeight="1">
      <c r="B79" s="451">
        <f t="shared" si="2"/>
        <v>43831</v>
      </c>
      <c r="C79" s="39">
        <v>148401</v>
      </c>
      <c r="D79" s="40">
        <v>12694.065</v>
      </c>
      <c r="E79" s="395">
        <v>254</v>
      </c>
      <c r="F79" s="45">
        <v>254</v>
      </c>
      <c r="G79" s="41">
        <v>3048</v>
      </c>
      <c r="H79" s="42"/>
      <c r="I79" s="43"/>
      <c r="J79" s="389"/>
      <c r="K79" s="389"/>
      <c r="L79" s="41"/>
      <c r="M79" s="42"/>
      <c r="N79" s="43"/>
      <c r="O79" s="389"/>
      <c r="P79" s="389"/>
      <c r="Q79" s="41"/>
      <c r="R79" s="42"/>
      <c r="S79" s="39"/>
      <c r="T79" s="39"/>
      <c r="U79" s="392"/>
      <c r="V79" s="41"/>
      <c r="W79" s="42"/>
      <c r="X79" s="39"/>
      <c r="Y79" s="39"/>
      <c r="Z79" s="392"/>
      <c r="AA79" s="352"/>
      <c r="AD79" s="460">
        <f>#REF!</f>
        <v>43831</v>
      </c>
      <c r="AE79" s="47">
        <v>0</v>
      </c>
      <c r="AF79" s="40"/>
      <c r="AG79" s="461">
        <f>IF(Table5[[#This Row],[Gas usage (ccf or therms)]]=0,0,29.31*Table5[[#This Row],[Gas usage (ccf or therms)]])</f>
        <v>0</v>
      </c>
    </row>
    <row r="80" spans="2:33" ht="20.15" customHeight="1">
      <c r="B80" s="451">
        <f t="shared" si="2"/>
        <v>43862</v>
      </c>
      <c r="C80" s="39">
        <v>145356</v>
      </c>
      <c r="D80" s="40">
        <v>12472.14</v>
      </c>
      <c r="E80" s="395">
        <v>252</v>
      </c>
      <c r="F80" s="45">
        <v>252</v>
      </c>
      <c r="G80" s="41">
        <v>3024</v>
      </c>
      <c r="H80" s="42"/>
      <c r="I80" s="43"/>
      <c r="J80" s="389"/>
      <c r="K80" s="389"/>
      <c r="L80" s="41"/>
      <c r="M80" s="42"/>
      <c r="N80" s="43"/>
      <c r="O80" s="389"/>
      <c r="P80" s="389"/>
      <c r="Q80" s="41"/>
      <c r="R80" s="42"/>
      <c r="S80" s="39"/>
      <c r="T80" s="39"/>
      <c r="U80" s="392"/>
      <c r="V80" s="41"/>
      <c r="W80" s="42"/>
      <c r="X80" s="39"/>
      <c r="Y80" s="39"/>
      <c r="Z80" s="392"/>
      <c r="AA80" s="352"/>
      <c r="AD80" s="460">
        <f>#REF!</f>
        <v>43862</v>
      </c>
      <c r="AE80" s="47">
        <v>0</v>
      </c>
      <c r="AF80" s="40"/>
      <c r="AG80" s="461">
        <f>IF(Table5[[#This Row],[Gas usage (ccf or therms)]]=0,0,29.31*Table5[[#This Row],[Gas usage (ccf or therms)]])</f>
        <v>0</v>
      </c>
    </row>
    <row r="81" spans="2:33" ht="20.15" customHeight="1">
      <c r="B81" s="451">
        <f t="shared" si="2"/>
        <v>43891</v>
      </c>
      <c r="C81" s="39">
        <v>171406</v>
      </c>
      <c r="D81" s="40">
        <v>14897.390000000001</v>
      </c>
      <c r="E81" s="395">
        <v>313</v>
      </c>
      <c r="F81" s="45">
        <v>313</v>
      </c>
      <c r="G81" s="41">
        <v>3756</v>
      </c>
      <c r="H81" s="42"/>
      <c r="I81" s="43"/>
      <c r="J81" s="389"/>
      <c r="K81" s="389"/>
      <c r="L81" s="41"/>
      <c r="M81" s="42"/>
      <c r="N81" s="43"/>
      <c r="O81" s="389"/>
      <c r="P81" s="389"/>
      <c r="Q81" s="41"/>
      <c r="R81" s="42"/>
      <c r="S81" s="39"/>
      <c r="T81" s="39"/>
      <c r="U81" s="392"/>
      <c r="V81" s="41"/>
      <c r="W81" s="42"/>
      <c r="X81" s="39"/>
      <c r="Y81" s="39"/>
      <c r="Z81" s="392"/>
      <c r="AA81" s="352"/>
      <c r="AD81" s="460">
        <f>#REF!</f>
        <v>43891</v>
      </c>
      <c r="AE81" s="47">
        <v>0</v>
      </c>
      <c r="AF81" s="40"/>
      <c r="AG81" s="461">
        <f>IF(Table5[[#This Row],[Gas usage (ccf or therms)]]=0,0,29.31*Table5[[#This Row],[Gas usage (ccf or therms)]])</f>
        <v>0</v>
      </c>
    </row>
    <row r="82" spans="2:33" ht="20.15" customHeight="1">
      <c r="B82" s="451">
        <f t="shared" si="2"/>
        <v>43922</v>
      </c>
      <c r="C82" s="39">
        <v>142572</v>
      </c>
      <c r="D82" s="40">
        <v>12027.18</v>
      </c>
      <c r="E82" s="395">
        <v>230</v>
      </c>
      <c r="F82" s="45">
        <v>230</v>
      </c>
      <c r="G82" s="41">
        <v>2760</v>
      </c>
      <c r="H82" s="42"/>
      <c r="I82" s="43"/>
      <c r="J82" s="389"/>
      <c r="K82" s="389"/>
      <c r="L82" s="41"/>
      <c r="M82" s="42"/>
      <c r="N82" s="43"/>
      <c r="O82" s="389"/>
      <c r="P82" s="389"/>
      <c r="Q82" s="41"/>
      <c r="R82" s="42"/>
      <c r="S82" s="39"/>
      <c r="T82" s="39"/>
      <c r="U82" s="392"/>
      <c r="V82" s="41"/>
      <c r="W82" s="42"/>
      <c r="X82" s="39"/>
      <c r="Y82" s="39"/>
      <c r="Z82" s="392"/>
      <c r="AA82" s="352"/>
      <c r="AD82" s="460">
        <f>#REF!</f>
        <v>43922</v>
      </c>
      <c r="AE82" s="47">
        <v>0</v>
      </c>
      <c r="AF82" s="40"/>
      <c r="AG82" s="461">
        <f>IF(Table5[[#This Row],[Gas usage (ccf or therms)]]=0,0,29.31*Table5[[#This Row],[Gas usage (ccf or therms)]])</f>
        <v>0</v>
      </c>
    </row>
    <row r="83" spans="2:33" ht="20.15" customHeight="1">
      <c r="B83" s="451">
        <f t="shared" si="2"/>
        <v>43952</v>
      </c>
      <c r="C83" s="39">
        <v>115539</v>
      </c>
      <c r="D83" s="40">
        <v>10198.035</v>
      </c>
      <c r="E83" s="395">
        <v>199</v>
      </c>
      <c r="F83" s="45">
        <v>224</v>
      </c>
      <c r="G83" s="41">
        <v>2688</v>
      </c>
      <c r="H83" s="42"/>
      <c r="I83" s="43"/>
      <c r="J83" s="389"/>
      <c r="K83" s="389"/>
      <c r="L83" s="41"/>
      <c r="M83" s="42"/>
      <c r="N83" s="43"/>
      <c r="O83" s="389"/>
      <c r="P83" s="389"/>
      <c r="Q83" s="41"/>
      <c r="R83" s="42"/>
      <c r="S83" s="39"/>
      <c r="T83" s="39"/>
      <c r="U83" s="392"/>
      <c r="V83" s="41"/>
      <c r="W83" s="42"/>
      <c r="X83" s="39"/>
      <c r="Y83" s="39"/>
      <c r="Z83" s="392"/>
      <c r="AA83" s="352"/>
      <c r="AD83" s="460">
        <f>#REF!</f>
        <v>43952</v>
      </c>
      <c r="AE83" s="47">
        <v>0</v>
      </c>
      <c r="AF83" s="40"/>
      <c r="AG83" s="461">
        <f>IF(Table5[[#This Row],[Gas usage (ccf or therms)]]=0,0,29.31*Table5[[#This Row],[Gas usage (ccf or therms)]])</f>
        <v>0</v>
      </c>
    </row>
    <row r="84" spans="2:33" ht="20.15" customHeight="1" thickBot="1">
      <c r="B84" s="452">
        <f t="shared" si="2"/>
        <v>43983</v>
      </c>
      <c r="C84" s="272">
        <v>104187</v>
      </c>
      <c r="D84" s="266">
        <v>9400.155</v>
      </c>
      <c r="E84" s="396">
        <v>182</v>
      </c>
      <c r="F84" s="265">
        <v>219</v>
      </c>
      <c r="G84" s="267">
        <v>2628</v>
      </c>
      <c r="H84" s="268"/>
      <c r="I84" s="269"/>
      <c r="J84" s="390"/>
      <c r="K84" s="390"/>
      <c r="L84" s="267"/>
      <c r="M84" s="268"/>
      <c r="N84" s="269"/>
      <c r="O84" s="390"/>
      <c r="P84" s="390"/>
      <c r="Q84" s="267"/>
      <c r="R84" s="268"/>
      <c r="S84" s="272"/>
      <c r="T84" s="272"/>
      <c r="U84" s="393"/>
      <c r="V84" s="267"/>
      <c r="W84" s="268"/>
      <c r="X84" s="272"/>
      <c r="Y84" s="272"/>
      <c r="Z84" s="393"/>
      <c r="AA84" s="353"/>
      <c r="AD84" s="462">
        <f>#REF!</f>
        <v>43983</v>
      </c>
      <c r="AE84" s="463">
        <v>0</v>
      </c>
      <c r="AF84" s="266"/>
      <c r="AG84" s="464">
        <f>IF(Table5[[#This Row],[Gas usage (ccf or therms)]]=0,0,29.31*Table5[[#This Row],[Gas usage (ccf or therms)]])</f>
        <v>0</v>
      </c>
    </row>
    <row r="85" spans="2:33" ht="20.15" customHeight="1">
      <c r="B85" s="450">
        <f t="shared" si="2"/>
        <v>44013</v>
      </c>
      <c r="C85" s="271">
        <v>146616</v>
      </c>
      <c r="D85" s="64">
        <v>12398.04</v>
      </c>
      <c r="E85" s="397">
        <v>239</v>
      </c>
      <c r="F85" s="260">
        <v>239</v>
      </c>
      <c r="G85" s="261">
        <v>2868</v>
      </c>
      <c r="H85" s="262"/>
      <c r="I85" s="263"/>
      <c r="J85" s="391"/>
      <c r="K85" s="391"/>
      <c r="L85" s="261"/>
      <c r="M85" s="262"/>
      <c r="N85" s="263"/>
      <c r="O85" s="391"/>
      <c r="P85" s="391"/>
      <c r="Q85" s="261"/>
      <c r="R85" s="262"/>
      <c r="S85" s="271"/>
      <c r="T85" s="271"/>
      <c r="U85" s="394"/>
      <c r="V85" s="261"/>
      <c r="W85" s="262"/>
      <c r="X85" s="271"/>
      <c r="Y85" s="271"/>
      <c r="Z85" s="394"/>
      <c r="AA85" s="354"/>
      <c r="AD85" s="456">
        <f>#REF!</f>
        <v>44013</v>
      </c>
      <c r="AE85" s="457">
        <v>0</v>
      </c>
      <c r="AF85" s="458"/>
      <c r="AG85" s="459">
        <f>IF(Table5[[#This Row],[Gas usage (ccf or therms)]]=0,0,29.31*Table5[[#This Row],[Gas usage (ccf or therms)]])</f>
        <v>0</v>
      </c>
    </row>
    <row r="86" spans="2:33" ht="20.15" customHeight="1">
      <c r="B86" s="451">
        <f t="shared" si="2"/>
        <v>44044</v>
      </c>
      <c r="C86" s="39">
        <v>144609</v>
      </c>
      <c r="D86" s="40">
        <v>12411.585000000001</v>
      </c>
      <c r="E86" s="395">
        <v>251</v>
      </c>
      <c r="F86" s="45">
        <v>251</v>
      </c>
      <c r="G86" s="41">
        <v>3012</v>
      </c>
      <c r="H86" s="42"/>
      <c r="I86" s="43"/>
      <c r="J86" s="389"/>
      <c r="K86" s="389"/>
      <c r="L86" s="41"/>
      <c r="M86" s="42"/>
      <c r="N86" s="43"/>
      <c r="O86" s="389"/>
      <c r="P86" s="389"/>
      <c r="Q86" s="41"/>
      <c r="R86" s="42"/>
      <c r="S86" s="39"/>
      <c r="T86" s="39"/>
      <c r="U86" s="392"/>
      <c r="V86" s="41"/>
      <c r="W86" s="42"/>
      <c r="X86" s="39"/>
      <c r="Y86" s="39"/>
      <c r="Z86" s="392"/>
      <c r="AA86" s="352"/>
      <c r="AD86" s="460">
        <f>#REF!</f>
        <v>44044</v>
      </c>
      <c r="AE86" s="47">
        <v>0</v>
      </c>
      <c r="AF86" s="40"/>
      <c r="AG86" s="461">
        <f>IF(Table5[[#This Row],[Gas usage (ccf or therms)]]=0,0,29.31*Table5[[#This Row],[Gas usage (ccf or therms)]])</f>
        <v>0</v>
      </c>
    </row>
    <row r="87" spans="2:33" ht="20.15" customHeight="1">
      <c r="B87" s="451">
        <f t="shared" si="2"/>
        <v>44075</v>
      </c>
      <c r="C87" s="39">
        <v>161764</v>
      </c>
      <c r="D87" s="40">
        <v>13706.66</v>
      </c>
      <c r="E87" s="395">
        <v>266</v>
      </c>
      <c r="F87" s="45">
        <v>266</v>
      </c>
      <c r="G87" s="41">
        <v>3192</v>
      </c>
      <c r="H87" s="42"/>
      <c r="I87" s="43"/>
      <c r="J87" s="389"/>
      <c r="K87" s="389"/>
      <c r="L87" s="41"/>
      <c r="M87" s="42"/>
      <c r="N87" s="43"/>
      <c r="O87" s="389"/>
      <c r="P87" s="389"/>
      <c r="Q87" s="41"/>
      <c r="R87" s="42"/>
      <c r="S87" s="39"/>
      <c r="T87" s="39"/>
      <c r="U87" s="392"/>
      <c r="V87" s="41"/>
      <c r="W87" s="42"/>
      <c r="X87" s="39"/>
      <c r="Y87" s="39"/>
      <c r="Z87" s="392"/>
      <c r="AA87" s="352"/>
      <c r="AD87" s="460">
        <f>#REF!</f>
        <v>44075</v>
      </c>
      <c r="AE87" s="47">
        <v>0</v>
      </c>
      <c r="AF87" s="40"/>
      <c r="AG87" s="461">
        <f>IF(Table5[[#This Row],[Gas usage (ccf or therms)]]=0,0,29.31*Table5[[#This Row],[Gas usage (ccf or therms)]])</f>
        <v>0</v>
      </c>
    </row>
    <row r="88" spans="2:33" ht="20.15" customHeight="1">
      <c r="B88" s="451">
        <f t="shared" si="2"/>
        <v>44105</v>
      </c>
      <c r="C88" s="39">
        <v>167363</v>
      </c>
      <c r="D88" s="40">
        <v>14478.595000000001</v>
      </c>
      <c r="E88" s="395">
        <v>300</v>
      </c>
      <c r="F88" s="45">
        <v>300</v>
      </c>
      <c r="G88" s="41">
        <v>3600</v>
      </c>
      <c r="H88" s="42"/>
      <c r="I88" s="43"/>
      <c r="J88" s="389"/>
      <c r="K88" s="389"/>
      <c r="L88" s="41"/>
      <c r="M88" s="42"/>
      <c r="N88" s="43"/>
      <c r="O88" s="389"/>
      <c r="P88" s="389"/>
      <c r="Q88" s="41"/>
      <c r="R88" s="42"/>
      <c r="S88" s="39"/>
      <c r="T88" s="39"/>
      <c r="U88" s="392"/>
      <c r="V88" s="41"/>
      <c r="W88" s="42"/>
      <c r="X88" s="39"/>
      <c r="Y88" s="39"/>
      <c r="Z88" s="392"/>
      <c r="AA88" s="352"/>
      <c r="AD88" s="460">
        <f>#REF!</f>
        <v>44105</v>
      </c>
      <c r="AE88" s="47">
        <v>0</v>
      </c>
      <c r="AF88" s="40"/>
      <c r="AG88" s="461">
        <f>IF(Table5[[#This Row],[Gas usage (ccf or therms)]]=0,0,29.31*Table5[[#This Row],[Gas usage (ccf or therms)]])</f>
        <v>0</v>
      </c>
    </row>
    <row r="89" spans="2:33" ht="20.15" customHeight="1">
      <c r="B89" s="451">
        <f t="shared" si="2"/>
        <v>44136</v>
      </c>
      <c r="C89" s="39">
        <v>130176</v>
      </c>
      <c r="D89" s="40">
        <v>11089.44</v>
      </c>
      <c r="E89" s="395">
        <v>210</v>
      </c>
      <c r="F89" s="45">
        <v>219</v>
      </c>
      <c r="G89" s="41">
        <v>2628</v>
      </c>
      <c r="H89" s="42"/>
      <c r="I89" s="43"/>
      <c r="J89" s="389"/>
      <c r="K89" s="389"/>
      <c r="L89" s="41"/>
      <c r="M89" s="42"/>
      <c r="N89" s="43"/>
      <c r="O89" s="389"/>
      <c r="P89" s="389"/>
      <c r="Q89" s="41"/>
      <c r="R89" s="42"/>
      <c r="S89" s="39"/>
      <c r="T89" s="39"/>
      <c r="U89" s="392"/>
      <c r="V89" s="41"/>
      <c r="W89" s="42"/>
      <c r="X89" s="39"/>
      <c r="Y89" s="39"/>
      <c r="Z89" s="392"/>
      <c r="AA89" s="352"/>
      <c r="AD89" s="460">
        <f>#REF!</f>
        <v>44136</v>
      </c>
      <c r="AE89" s="47">
        <v>0</v>
      </c>
      <c r="AF89" s="40"/>
      <c r="AG89" s="461">
        <f>IF(Table5[[#This Row],[Gas usage (ccf or therms)]]=0,0,29.31*Table5[[#This Row],[Gas usage (ccf or therms)]])</f>
        <v>0</v>
      </c>
    </row>
    <row r="90" spans="2:33" ht="20.15" customHeight="1">
      <c r="B90" s="451">
        <f t="shared" si="2"/>
        <v>44166</v>
      </c>
      <c r="C90" s="39">
        <v>129469</v>
      </c>
      <c r="D90" s="40">
        <v>12338.175</v>
      </c>
      <c r="E90" s="395">
        <v>213</v>
      </c>
      <c r="F90" s="45">
        <v>219</v>
      </c>
      <c r="G90" s="41">
        <v>2628</v>
      </c>
      <c r="H90" s="42"/>
      <c r="I90" s="43"/>
      <c r="J90" s="389"/>
      <c r="K90" s="389"/>
      <c r="L90" s="41"/>
      <c r="M90" s="42"/>
      <c r="N90" s="43"/>
      <c r="O90" s="389"/>
      <c r="P90" s="389"/>
      <c r="Q90" s="41"/>
      <c r="R90" s="42"/>
      <c r="S90" s="39"/>
      <c r="T90" s="39"/>
      <c r="U90" s="392"/>
      <c r="V90" s="41"/>
      <c r="W90" s="42"/>
      <c r="X90" s="39"/>
      <c r="Y90" s="39"/>
      <c r="Z90" s="392"/>
      <c r="AA90" s="352"/>
      <c r="AD90" s="460">
        <f>#REF!</f>
        <v>44166</v>
      </c>
      <c r="AE90" s="47">
        <v>0</v>
      </c>
      <c r="AF90" s="40"/>
      <c r="AG90" s="461">
        <f>IF(Table5[[#This Row],[Gas usage (ccf or therms)]]=0,0,29.31*Table5[[#This Row],[Gas usage (ccf or therms)]])</f>
        <v>0</v>
      </c>
    </row>
    <row r="91" spans="2:33" ht="20.15" customHeight="1">
      <c r="B91" s="451">
        <f t="shared" si="2"/>
        <v>44197</v>
      </c>
      <c r="C91" s="39">
        <v>137644</v>
      </c>
      <c r="D91" s="40">
        <v>13563.3</v>
      </c>
      <c r="E91" s="395">
        <v>270</v>
      </c>
      <c r="F91" s="45">
        <v>270</v>
      </c>
      <c r="G91" s="41">
        <v>3240</v>
      </c>
      <c r="H91" s="42"/>
      <c r="I91" s="43"/>
      <c r="J91" s="389"/>
      <c r="K91" s="389"/>
      <c r="L91" s="41"/>
      <c r="M91" s="42"/>
      <c r="N91" s="43"/>
      <c r="O91" s="389"/>
      <c r="P91" s="389"/>
      <c r="Q91" s="41"/>
      <c r="R91" s="42"/>
      <c r="S91" s="39"/>
      <c r="T91" s="39"/>
      <c r="U91" s="392"/>
      <c r="V91" s="41"/>
      <c r="W91" s="42"/>
      <c r="X91" s="39"/>
      <c r="Y91" s="39"/>
      <c r="Z91" s="392"/>
      <c r="AA91" s="352"/>
      <c r="AD91" s="460">
        <f>#REF!</f>
        <v>44197</v>
      </c>
      <c r="AE91" s="47">
        <v>0</v>
      </c>
      <c r="AF91" s="40"/>
      <c r="AG91" s="461">
        <f>IF(Table5[[#This Row],[Gas usage (ccf or therms)]]=0,0,29.31*Table5[[#This Row],[Gas usage (ccf or therms)]])</f>
        <v>0</v>
      </c>
    </row>
    <row r="92" spans="2:33" ht="20.15" customHeight="1">
      <c r="B92" s="451">
        <f t="shared" si="2"/>
        <v>44228</v>
      </c>
      <c r="C92" s="39">
        <v>103199</v>
      </c>
      <c r="D92" s="40">
        <v>10367.925</v>
      </c>
      <c r="E92" s="395">
        <v>183</v>
      </c>
      <c r="F92" s="45">
        <v>219</v>
      </c>
      <c r="G92" s="41">
        <v>2628</v>
      </c>
      <c r="H92" s="42"/>
      <c r="I92" s="43"/>
      <c r="J92" s="389"/>
      <c r="K92" s="389"/>
      <c r="L92" s="41"/>
      <c r="M92" s="42"/>
      <c r="N92" s="43"/>
      <c r="O92" s="389"/>
      <c r="P92" s="389"/>
      <c r="Q92" s="41"/>
      <c r="R92" s="42"/>
      <c r="S92" s="39"/>
      <c r="T92" s="39"/>
      <c r="U92" s="392"/>
      <c r="V92" s="41"/>
      <c r="W92" s="42"/>
      <c r="X92" s="39"/>
      <c r="Y92" s="39"/>
      <c r="Z92" s="392"/>
      <c r="AA92" s="352"/>
      <c r="AD92" s="460">
        <f>#REF!</f>
        <v>44228</v>
      </c>
      <c r="AE92" s="47">
        <v>0</v>
      </c>
      <c r="AF92" s="40"/>
      <c r="AG92" s="461">
        <f>IF(Table5[[#This Row],[Gas usage (ccf or therms)]]=0,0,29.31*Table5[[#This Row],[Gas usage (ccf or therms)]])</f>
        <v>0</v>
      </c>
    </row>
    <row r="93" spans="2:33" ht="20.15" customHeight="1">
      <c r="B93" s="451">
        <f t="shared" si="2"/>
        <v>44256</v>
      </c>
      <c r="C93" s="39">
        <v>150511</v>
      </c>
      <c r="D93" s="40">
        <v>14456.324999999999</v>
      </c>
      <c r="E93" s="395">
        <v>264</v>
      </c>
      <c r="F93" s="45">
        <v>264</v>
      </c>
      <c r="G93" s="41">
        <v>3168</v>
      </c>
      <c r="H93" s="42"/>
      <c r="I93" s="43"/>
      <c r="J93" s="389"/>
      <c r="K93" s="389"/>
      <c r="L93" s="41"/>
      <c r="M93" s="42"/>
      <c r="N93" s="43"/>
      <c r="O93" s="389"/>
      <c r="P93" s="389"/>
      <c r="Q93" s="41"/>
      <c r="R93" s="42"/>
      <c r="S93" s="39"/>
      <c r="T93" s="39"/>
      <c r="U93" s="392"/>
      <c r="V93" s="41"/>
      <c r="W93" s="42"/>
      <c r="X93" s="39"/>
      <c r="Y93" s="39"/>
      <c r="Z93" s="392"/>
      <c r="AA93" s="352"/>
      <c r="AD93" s="460">
        <f>#REF!</f>
        <v>44256</v>
      </c>
      <c r="AE93" s="47">
        <v>0</v>
      </c>
      <c r="AF93" s="40"/>
      <c r="AG93" s="461">
        <f>IF(Table5[[#This Row],[Gas usage (ccf or therms)]]=0,0,29.31*Table5[[#This Row],[Gas usage (ccf or therms)]])</f>
        <v>0</v>
      </c>
    </row>
    <row r="94" spans="2:33" ht="20.15" customHeight="1">
      <c r="B94" s="451">
        <f t="shared" si="2"/>
        <v>44287</v>
      </c>
      <c r="C94" s="39">
        <v>114297</v>
      </c>
      <c r="D94" s="40">
        <v>11092.275</v>
      </c>
      <c r="E94" s="395">
        <v>202</v>
      </c>
      <c r="F94" s="45">
        <v>210</v>
      </c>
      <c r="G94" s="41">
        <v>2520</v>
      </c>
      <c r="H94" s="42"/>
      <c r="I94" s="43"/>
      <c r="J94" s="389"/>
      <c r="K94" s="389"/>
      <c r="L94" s="41"/>
      <c r="M94" s="42"/>
      <c r="N94" s="43"/>
      <c r="O94" s="389"/>
      <c r="P94" s="389"/>
      <c r="Q94" s="41"/>
      <c r="R94" s="42"/>
      <c r="S94" s="39"/>
      <c r="T94" s="39"/>
      <c r="U94" s="392"/>
      <c r="V94" s="41"/>
      <c r="W94" s="42"/>
      <c r="X94" s="39"/>
      <c r="Y94" s="39"/>
      <c r="Z94" s="392"/>
      <c r="AA94" s="352"/>
      <c r="AD94" s="460">
        <f>#REF!</f>
        <v>44287</v>
      </c>
      <c r="AE94" s="47">
        <v>0</v>
      </c>
      <c r="AF94" s="40"/>
      <c r="AG94" s="461">
        <f>IF(Table5[[#This Row],[Gas usage (ccf or therms)]]=0,0,29.31*Table5[[#This Row],[Gas usage (ccf or therms)]])</f>
        <v>0</v>
      </c>
    </row>
    <row r="95" spans="2:33" ht="20.15" customHeight="1">
      <c r="B95" s="451">
        <f t="shared" si="2"/>
        <v>44317</v>
      </c>
      <c r="C95" s="39">
        <v>145775</v>
      </c>
      <c r="D95" s="40">
        <v>13969.125</v>
      </c>
      <c r="E95" s="395">
        <v>253</v>
      </c>
      <c r="F95" s="45">
        <v>253</v>
      </c>
      <c r="G95" s="41">
        <v>3036</v>
      </c>
      <c r="H95" s="42"/>
      <c r="I95" s="43"/>
      <c r="J95" s="389"/>
      <c r="K95" s="389"/>
      <c r="L95" s="41"/>
      <c r="M95" s="42"/>
      <c r="N95" s="43"/>
      <c r="O95" s="389"/>
      <c r="P95" s="389"/>
      <c r="Q95" s="41"/>
      <c r="R95" s="42"/>
      <c r="S95" s="39"/>
      <c r="T95" s="39"/>
      <c r="U95" s="392"/>
      <c r="V95" s="41"/>
      <c r="W95" s="42"/>
      <c r="X95" s="39"/>
      <c r="Y95" s="39"/>
      <c r="Z95" s="392"/>
      <c r="AA95" s="352"/>
      <c r="AD95" s="460">
        <f>#REF!</f>
        <v>44317</v>
      </c>
      <c r="AE95" s="47">
        <v>0</v>
      </c>
      <c r="AF95" s="40"/>
      <c r="AG95" s="461">
        <f>IF(Table5[[#This Row],[Gas usage (ccf or therms)]]=0,0,29.31*Table5[[#This Row],[Gas usage (ccf or therms)]])</f>
        <v>0</v>
      </c>
    </row>
    <row r="96" spans="2:33" ht="20.15" customHeight="1" thickBot="1">
      <c r="B96" s="452">
        <f t="shared" si="2"/>
        <v>44348</v>
      </c>
      <c r="C96" s="272">
        <v>165134</v>
      </c>
      <c r="D96" s="266">
        <v>15613.05</v>
      </c>
      <c r="E96" s="396">
        <v>269</v>
      </c>
      <c r="F96" s="265">
        <v>269</v>
      </c>
      <c r="G96" s="267">
        <v>3228</v>
      </c>
      <c r="H96" s="268"/>
      <c r="I96" s="269"/>
      <c r="J96" s="390"/>
      <c r="K96" s="390"/>
      <c r="L96" s="267"/>
      <c r="M96" s="268"/>
      <c r="N96" s="269"/>
      <c r="O96" s="390"/>
      <c r="P96" s="390"/>
      <c r="Q96" s="267"/>
      <c r="R96" s="268"/>
      <c r="S96" s="272"/>
      <c r="T96" s="272"/>
      <c r="U96" s="393"/>
      <c r="V96" s="267"/>
      <c r="W96" s="268"/>
      <c r="X96" s="272"/>
      <c r="Y96" s="272"/>
      <c r="Z96" s="393"/>
      <c r="AA96" s="353"/>
      <c r="AD96" s="462">
        <f>#REF!</f>
        <v>44348</v>
      </c>
      <c r="AE96" s="463">
        <v>0</v>
      </c>
      <c r="AF96" s="266"/>
      <c r="AG96" s="464">
        <f>IF(Table5[[#This Row],[Gas usage (ccf or therms)]]=0,0,29.31*Table5[[#This Row],[Gas usage (ccf or therms)]])</f>
        <v>0</v>
      </c>
    </row>
    <row r="97" spans="2:33" ht="20.15" customHeight="1">
      <c r="B97" s="450">
        <f t="shared" si="2"/>
        <v>44378</v>
      </c>
      <c r="C97" s="271">
        <v>155420</v>
      </c>
      <c r="D97" s="64">
        <v>14848.5</v>
      </c>
      <c r="E97" s="397">
        <v>266</v>
      </c>
      <c r="F97" s="260">
        <v>266</v>
      </c>
      <c r="G97" s="261">
        <v>3192</v>
      </c>
      <c r="H97" s="262"/>
      <c r="I97" s="263"/>
      <c r="J97" s="391"/>
      <c r="K97" s="391"/>
      <c r="L97" s="261"/>
      <c r="M97" s="262"/>
      <c r="N97" s="263"/>
      <c r="O97" s="391"/>
      <c r="P97" s="391"/>
      <c r="Q97" s="261"/>
      <c r="R97" s="262"/>
      <c r="S97" s="271"/>
      <c r="T97" s="271"/>
      <c r="U97" s="394"/>
      <c r="V97" s="261"/>
      <c r="W97" s="262"/>
      <c r="X97" s="271"/>
      <c r="Y97" s="271"/>
      <c r="Z97" s="394"/>
      <c r="AA97" s="354"/>
      <c r="AD97" s="456">
        <f>#REF!</f>
        <v>44378</v>
      </c>
      <c r="AE97" s="457">
        <v>0</v>
      </c>
      <c r="AF97" s="458"/>
      <c r="AG97" s="459">
        <f>IF(Table5[[#This Row],[Gas usage (ccf or therms)]]=0,0,29.31*Table5[[#This Row],[Gas usage (ccf or therms)]])</f>
        <v>0</v>
      </c>
    </row>
    <row r="98" spans="2:33" ht="20.15" customHeight="1">
      <c r="B98" s="451">
        <f t="shared" si="2"/>
        <v>44409</v>
      </c>
      <c r="C98" s="39">
        <v>112437</v>
      </c>
      <c r="D98" s="40">
        <v>10952.775</v>
      </c>
      <c r="E98" s="395">
        <v>193</v>
      </c>
      <c r="F98" s="45">
        <v>210</v>
      </c>
      <c r="G98" s="41">
        <v>2520</v>
      </c>
      <c r="H98" s="42"/>
      <c r="I98" s="43"/>
      <c r="J98" s="389"/>
      <c r="K98" s="389"/>
      <c r="L98" s="41"/>
      <c r="M98" s="42"/>
      <c r="N98" s="43"/>
      <c r="O98" s="389"/>
      <c r="P98" s="389"/>
      <c r="Q98" s="41"/>
      <c r="R98" s="42"/>
      <c r="S98" s="39"/>
      <c r="T98" s="39"/>
      <c r="U98" s="392"/>
      <c r="V98" s="41"/>
      <c r="W98" s="42"/>
      <c r="X98" s="39"/>
      <c r="Y98" s="39"/>
      <c r="Z98" s="392"/>
      <c r="AA98" s="352"/>
      <c r="AD98" s="460">
        <f>#REF!</f>
        <v>44409</v>
      </c>
      <c r="AE98" s="47">
        <v>0</v>
      </c>
      <c r="AF98" s="40"/>
      <c r="AG98" s="461">
        <f>IF(Table5[[#This Row],[Gas usage (ccf or therms)]]=0,0,29.31*Table5[[#This Row],[Gas usage (ccf or therms)]])</f>
        <v>0</v>
      </c>
    </row>
    <row r="99" spans="2:33" ht="20.15" customHeight="1">
      <c r="B99" s="451">
        <f t="shared" si="2"/>
        <v>44440</v>
      </c>
      <c r="C99" s="39">
        <v>115687</v>
      </c>
      <c r="D99" s="40">
        <v>11196.525</v>
      </c>
      <c r="E99" s="395">
        <v>185</v>
      </c>
      <c r="F99" s="45">
        <v>210</v>
      </c>
      <c r="G99" s="41">
        <v>2520</v>
      </c>
      <c r="H99" s="42"/>
      <c r="I99" s="43"/>
      <c r="J99" s="389"/>
      <c r="K99" s="389"/>
      <c r="L99" s="41"/>
      <c r="M99" s="42"/>
      <c r="N99" s="43"/>
      <c r="O99" s="389"/>
      <c r="P99" s="389"/>
      <c r="Q99" s="41"/>
      <c r="R99" s="42"/>
      <c r="S99" s="39"/>
      <c r="T99" s="39"/>
      <c r="U99" s="392"/>
      <c r="V99" s="41"/>
      <c r="W99" s="42"/>
      <c r="X99" s="39"/>
      <c r="Y99" s="39"/>
      <c r="Z99" s="392"/>
      <c r="AA99" s="352"/>
      <c r="AD99" s="460">
        <f>#REF!</f>
        <v>44440</v>
      </c>
      <c r="AE99" s="47">
        <v>0</v>
      </c>
      <c r="AF99" s="40"/>
      <c r="AG99" s="461">
        <f>IF(Table5[[#This Row],[Gas usage (ccf or therms)]]=0,0,29.31*Table5[[#This Row],[Gas usage (ccf or therms)]])</f>
        <v>0</v>
      </c>
    </row>
    <row r="100" spans="2:33" ht="20.15" customHeight="1">
      <c r="B100" s="451">
        <f t="shared" si="2"/>
        <v>44470</v>
      </c>
      <c r="C100" s="39">
        <v>126793</v>
      </c>
      <c r="D100" s="40">
        <v>12125.475</v>
      </c>
      <c r="E100" s="395">
        <v>218</v>
      </c>
      <c r="F100" s="45">
        <v>218</v>
      </c>
      <c r="G100" s="41">
        <v>2616</v>
      </c>
      <c r="H100" s="42"/>
      <c r="I100" s="43"/>
      <c r="J100" s="389"/>
      <c r="K100" s="389"/>
      <c r="L100" s="41"/>
      <c r="M100" s="42"/>
      <c r="N100" s="43"/>
      <c r="O100" s="389"/>
      <c r="P100" s="389"/>
      <c r="Q100" s="41"/>
      <c r="R100" s="42"/>
      <c r="S100" s="39"/>
      <c r="T100" s="39"/>
      <c r="U100" s="392"/>
      <c r="V100" s="41"/>
      <c r="W100" s="42"/>
      <c r="X100" s="39"/>
      <c r="Y100" s="39"/>
      <c r="Z100" s="392"/>
      <c r="AA100" s="352"/>
      <c r="AD100" s="460">
        <f>#REF!</f>
        <v>44470</v>
      </c>
      <c r="AE100" s="47">
        <v>0</v>
      </c>
      <c r="AF100" s="40"/>
      <c r="AG100" s="461">
        <f>IF(Table5[[#This Row],[Gas usage (ccf or therms)]]=0,0,29.31*Table5[[#This Row],[Gas usage (ccf or therms)]])</f>
        <v>0</v>
      </c>
    </row>
    <row r="101" spans="2:33" ht="20.15" customHeight="1">
      <c r="B101" s="451">
        <f t="shared" si="2"/>
        <v>44501</v>
      </c>
      <c r="C101" s="39">
        <v>91661</v>
      </c>
      <c r="D101" s="40">
        <v>9142.575</v>
      </c>
      <c r="E101" s="395">
        <v>160</v>
      </c>
      <c r="F101" s="45">
        <v>189</v>
      </c>
      <c r="G101" s="41">
        <v>2268</v>
      </c>
      <c r="H101" s="42"/>
      <c r="I101" s="43"/>
      <c r="J101" s="389"/>
      <c r="K101" s="389"/>
      <c r="L101" s="41"/>
      <c r="M101" s="42"/>
      <c r="N101" s="43"/>
      <c r="O101" s="389"/>
      <c r="P101" s="389"/>
      <c r="Q101" s="41"/>
      <c r="R101" s="42"/>
      <c r="S101" s="39"/>
      <c r="T101" s="39"/>
      <c r="U101" s="392"/>
      <c r="V101" s="41"/>
      <c r="W101" s="42"/>
      <c r="X101" s="39"/>
      <c r="Y101" s="39"/>
      <c r="Z101" s="392"/>
      <c r="AA101" s="352"/>
      <c r="AD101" s="460">
        <f>#REF!</f>
        <v>44501</v>
      </c>
      <c r="AE101" s="47">
        <v>0</v>
      </c>
      <c r="AF101" s="40"/>
      <c r="AG101" s="461">
        <f>IF(Table5[[#This Row],[Gas usage (ccf or therms)]]=0,0,29.31*Table5[[#This Row],[Gas usage (ccf or therms)]])</f>
        <v>0</v>
      </c>
    </row>
    <row r="102" spans="2:33" ht="20.15" customHeight="1">
      <c r="B102" s="451">
        <f t="shared" si="2"/>
        <v>44531</v>
      </c>
      <c r="C102" s="39">
        <v>144292</v>
      </c>
      <c r="D102" s="40">
        <v>13785.9</v>
      </c>
      <c r="E102" s="395">
        <v>247</v>
      </c>
      <c r="F102" s="45">
        <v>247</v>
      </c>
      <c r="G102" s="41">
        <v>2964</v>
      </c>
      <c r="H102" s="42"/>
      <c r="I102" s="43"/>
      <c r="J102" s="389"/>
      <c r="K102" s="389"/>
      <c r="L102" s="41"/>
      <c r="M102" s="42"/>
      <c r="N102" s="43"/>
      <c r="O102" s="389"/>
      <c r="P102" s="389"/>
      <c r="Q102" s="41"/>
      <c r="R102" s="42"/>
      <c r="S102" s="39"/>
      <c r="T102" s="39"/>
      <c r="U102" s="392"/>
      <c r="V102" s="41"/>
      <c r="W102" s="42"/>
      <c r="X102" s="39"/>
      <c r="Y102" s="39"/>
      <c r="Z102" s="392"/>
      <c r="AA102" s="352"/>
      <c r="AD102" s="460">
        <f>#REF!</f>
        <v>44531</v>
      </c>
      <c r="AE102" s="47">
        <v>0</v>
      </c>
      <c r="AF102" s="40"/>
      <c r="AG102" s="461">
        <f>IF(Table5[[#This Row],[Gas usage (ccf or therms)]]=0,0,29.31*Table5[[#This Row],[Gas usage (ccf or therms)]])</f>
        <v>0</v>
      </c>
    </row>
    <row r="103" spans="2:33" ht="20.15" customHeight="1">
      <c r="B103" s="451">
        <f t="shared" si="2"/>
        <v>44562</v>
      </c>
      <c r="C103" s="39">
        <v>97105</v>
      </c>
      <c r="D103" s="40">
        <v>9550.875</v>
      </c>
      <c r="E103" s="395">
        <v>182</v>
      </c>
      <c r="F103" s="45">
        <v>189</v>
      </c>
      <c r="G103" s="41">
        <v>2268</v>
      </c>
      <c r="H103" s="42"/>
      <c r="I103" s="43"/>
      <c r="J103" s="389"/>
      <c r="K103" s="389"/>
      <c r="L103" s="41"/>
      <c r="M103" s="42"/>
      <c r="N103" s="43"/>
      <c r="O103" s="389"/>
      <c r="P103" s="389"/>
      <c r="Q103" s="41"/>
      <c r="R103" s="42"/>
      <c r="S103" s="39"/>
      <c r="T103" s="39"/>
      <c r="U103" s="392"/>
      <c r="V103" s="41"/>
      <c r="W103" s="42"/>
      <c r="X103" s="39"/>
      <c r="Y103" s="39"/>
      <c r="Z103" s="392"/>
      <c r="AA103" s="352"/>
      <c r="AD103" s="460">
        <f>#REF!</f>
        <v>44562</v>
      </c>
      <c r="AE103" s="47">
        <v>0</v>
      </c>
      <c r="AF103" s="40"/>
      <c r="AG103" s="461">
        <f>IF(Table5[[#This Row],[Gas usage (ccf or therms)]]=0,0,29.31*Table5[[#This Row],[Gas usage (ccf or therms)]])</f>
        <v>0</v>
      </c>
    </row>
    <row r="104" spans="2:33" ht="20.15" customHeight="1">
      <c r="B104" s="451">
        <f t="shared" si="2"/>
        <v>44593</v>
      </c>
      <c r="C104" s="39">
        <v>113715</v>
      </c>
      <c r="D104" s="40">
        <v>10784.625</v>
      </c>
      <c r="E104" s="395">
        <v>182</v>
      </c>
      <c r="F104" s="45">
        <v>188</v>
      </c>
      <c r="G104" s="41">
        <v>2256</v>
      </c>
      <c r="H104" s="42"/>
      <c r="I104" s="43"/>
      <c r="J104" s="389"/>
      <c r="K104" s="389"/>
      <c r="L104" s="41"/>
      <c r="M104" s="42"/>
      <c r="N104" s="43"/>
      <c r="O104" s="389"/>
      <c r="P104" s="389"/>
      <c r="Q104" s="41"/>
      <c r="R104" s="42"/>
      <c r="S104" s="39"/>
      <c r="T104" s="39"/>
      <c r="U104" s="392"/>
      <c r="V104" s="41"/>
      <c r="W104" s="42"/>
      <c r="X104" s="39"/>
      <c r="Y104" s="39"/>
      <c r="Z104" s="392"/>
      <c r="AA104" s="352"/>
      <c r="AD104" s="460">
        <f>#REF!</f>
        <v>44593</v>
      </c>
      <c r="AE104" s="47">
        <v>0</v>
      </c>
      <c r="AF104" s="40"/>
      <c r="AG104" s="461">
        <f>IF(Table5[[#This Row],[Gas usage (ccf or therms)]]=0,0,29.31*Table5[[#This Row],[Gas usage (ccf or therms)]])</f>
        <v>0</v>
      </c>
    </row>
    <row r="105" spans="2:33" ht="20.15" customHeight="1">
      <c r="B105" s="451">
        <f t="shared" si="2"/>
        <v>44621</v>
      </c>
      <c r="C105" s="39">
        <v>154354</v>
      </c>
      <c r="D105" s="40">
        <v>14888.55</v>
      </c>
      <c r="E105" s="395">
        <v>276</v>
      </c>
      <c r="F105" s="45">
        <v>276</v>
      </c>
      <c r="G105" s="41">
        <v>3312</v>
      </c>
      <c r="H105" s="42"/>
      <c r="I105" s="43"/>
      <c r="J105" s="389"/>
      <c r="K105" s="389"/>
      <c r="L105" s="41"/>
      <c r="M105" s="42"/>
      <c r="N105" s="43"/>
      <c r="O105" s="389"/>
      <c r="P105" s="389"/>
      <c r="Q105" s="41"/>
      <c r="R105" s="42"/>
      <c r="S105" s="39"/>
      <c r="T105" s="39"/>
      <c r="U105" s="392"/>
      <c r="V105" s="41"/>
      <c r="W105" s="42"/>
      <c r="X105" s="39"/>
      <c r="Y105" s="39"/>
      <c r="Z105" s="392"/>
      <c r="AA105" s="352"/>
      <c r="AD105" s="460">
        <f>#REF!</f>
        <v>44621</v>
      </c>
      <c r="AE105" s="47">
        <v>0</v>
      </c>
      <c r="AF105" s="40"/>
      <c r="AG105" s="461">
        <f>IF(Table5[[#This Row],[Gas usage (ccf or therms)]]=0,0,29.31*Table5[[#This Row],[Gas usage (ccf or therms)]])</f>
        <v>0</v>
      </c>
    </row>
    <row r="106" spans="2:33" ht="20.15" customHeight="1">
      <c r="B106" s="451">
        <f t="shared" si="2"/>
        <v>44652</v>
      </c>
      <c r="C106" s="39">
        <v>157434</v>
      </c>
      <c r="D106" s="40">
        <v>15812.55</v>
      </c>
      <c r="E106" s="395">
        <v>267</v>
      </c>
      <c r="F106" s="45">
        <v>267</v>
      </c>
      <c r="G106" s="41">
        <v>4005</v>
      </c>
      <c r="H106" s="42"/>
      <c r="I106" s="43"/>
      <c r="J106" s="389"/>
      <c r="K106" s="389"/>
      <c r="L106" s="41"/>
      <c r="M106" s="42"/>
      <c r="N106" s="43"/>
      <c r="O106" s="389"/>
      <c r="P106" s="389"/>
      <c r="Q106" s="41"/>
      <c r="R106" s="42"/>
      <c r="S106" s="39"/>
      <c r="T106" s="39"/>
      <c r="U106" s="392"/>
      <c r="V106" s="41"/>
      <c r="W106" s="42"/>
      <c r="X106" s="39"/>
      <c r="Y106" s="39"/>
      <c r="Z106" s="392"/>
      <c r="AA106" s="352"/>
      <c r="AD106" s="460">
        <f>#REF!</f>
        <v>44652</v>
      </c>
      <c r="AE106" s="61">
        <v>0</v>
      </c>
      <c r="AF106" s="40"/>
      <c r="AG106" s="461">
        <f>IF(Table5[[#This Row],[Gas usage (ccf or therms)]]=0,0,29.31*Table5[[#This Row],[Gas usage (ccf or therms)]])</f>
        <v>0</v>
      </c>
    </row>
    <row r="107" spans="2:33" ht="20.15" customHeight="1">
      <c r="B107" s="451">
        <f t="shared" si="2"/>
        <v>44682</v>
      </c>
      <c r="C107" s="39">
        <v>153539</v>
      </c>
      <c r="D107" s="40">
        <v>15685.425</v>
      </c>
      <c r="E107" s="398">
        <v>278</v>
      </c>
      <c r="F107" s="45">
        <v>278</v>
      </c>
      <c r="G107" s="41">
        <v>4170</v>
      </c>
      <c r="H107" s="42"/>
      <c r="I107" s="43"/>
      <c r="J107" s="389"/>
      <c r="K107" s="389"/>
      <c r="L107" s="41"/>
      <c r="M107" s="42"/>
      <c r="N107" s="43"/>
      <c r="O107" s="389"/>
      <c r="P107" s="389"/>
      <c r="Q107" s="41"/>
      <c r="R107" s="42"/>
      <c r="S107" s="39"/>
      <c r="T107" s="39"/>
      <c r="U107" s="392"/>
      <c r="V107" s="41"/>
      <c r="W107" s="42"/>
      <c r="X107" s="39"/>
      <c r="Y107" s="39"/>
      <c r="Z107" s="392"/>
      <c r="AA107" s="352"/>
      <c r="AD107" s="460">
        <f>#REF!</f>
        <v>44682</v>
      </c>
      <c r="AE107" s="61">
        <v>0</v>
      </c>
      <c r="AF107" s="40"/>
      <c r="AG107" s="461">
        <f>IF(Table5[[#This Row],[Gas usage (ccf or therms)]]=0,0,29.31*Table5[[#This Row],[Gas usage (ccf or therms)]])</f>
        <v>0</v>
      </c>
    </row>
    <row r="108" spans="2:33" ht="20.15" customHeight="1" thickBot="1">
      <c r="B108" s="452">
        <f t="shared" si="2"/>
        <v>44713</v>
      </c>
      <c r="C108" s="39">
        <v>113882</v>
      </c>
      <c r="D108" s="40">
        <v>11466.15</v>
      </c>
      <c r="E108" s="398">
        <v>179</v>
      </c>
      <c r="F108" s="45">
        <v>195</v>
      </c>
      <c r="G108" s="41">
        <v>2925</v>
      </c>
      <c r="H108" s="42"/>
      <c r="I108" s="43"/>
      <c r="J108" s="389"/>
      <c r="K108" s="389"/>
      <c r="L108" s="41"/>
      <c r="M108" s="42"/>
      <c r="N108" s="43"/>
      <c r="O108" s="389"/>
      <c r="P108" s="389"/>
      <c r="Q108" s="41"/>
      <c r="R108" s="42"/>
      <c r="S108" s="39"/>
      <c r="T108" s="39"/>
      <c r="U108" s="392"/>
      <c r="V108" s="41"/>
      <c r="W108" s="42"/>
      <c r="X108" s="39"/>
      <c r="Y108" s="39"/>
      <c r="Z108" s="392"/>
      <c r="AA108" s="352"/>
      <c r="AD108" s="462">
        <f>#REF!</f>
        <v>44713</v>
      </c>
      <c r="AE108" s="463">
        <v>0</v>
      </c>
      <c r="AF108" s="266"/>
      <c r="AG108" s="464">
        <f>IF(Table5[[#This Row],[Gas usage (ccf or therms)]]=0,0,29.31*Table5[[#This Row],[Gas usage (ccf or therms)]])</f>
        <v>0</v>
      </c>
    </row>
    <row r="109" ht="15">
      <c r="E109" s="50"/>
    </row>
  </sheetData>
  <sheetProtection formatCells="0" formatColumns="0" formatRows="0" sort="0" autoFilter="0"/>
  <mergeCells count="24">
    <mergeCell ref="B1:H3"/>
    <mergeCell ref="D23:G23"/>
    <mergeCell ref="B11:C11"/>
    <mergeCell ref="E11:F11"/>
    <mergeCell ref="B12:C12"/>
    <mergeCell ref="D12:F12"/>
    <mergeCell ref="B13:C13"/>
    <mergeCell ref="D13:F13"/>
    <mergeCell ref="AD23:AG23"/>
    <mergeCell ref="B5:G7"/>
    <mergeCell ref="C8:G8"/>
    <mergeCell ref="C9:G9"/>
    <mergeCell ref="I23:L23"/>
    <mergeCell ref="N23:Q23"/>
    <mergeCell ref="S23:V23"/>
    <mergeCell ref="X23:AA23"/>
    <mergeCell ref="B15:G18"/>
    <mergeCell ref="AD21:AG21"/>
    <mergeCell ref="D22:G22"/>
    <mergeCell ref="I22:L22"/>
    <mergeCell ref="N22:Q22"/>
    <mergeCell ref="S22:V22"/>
    <mergeCell ref="X22:AA22"/>
    <mergeCell ref="AD22:AG22"/>
  </mergeCells>
  <conditionalFormatting sqref="G25:G68 G98:G108">
    <cfRule type="cellIs" priority="6" dxfId="64" operator="equal">
      <formula>0</formula>
    </cfRule>
  </conditionalFormatting>
  <conditionalFormatting sqref="AA25:AA108">
    <cfRule type="cellIs" priority="5" dxfId="64" operator="equal">
      <formula>0</formula>
    </cfRule>
  </conditionalFormatting>
  <conditionalFormatting sqref="G69:G73">
    <cfRule type="cellIs" priority="4" dxfId="64" operator="equal">
      <formula>0</formula>
    </cfRule>
  </conditionalFormatting>
  <conditionalFormatting sqref="G74">
    <cfRule type="cellIs" priority="3" dxfId="64" operator="equal">
      <formula>0</formula>
    </cfRule>
  </conditionalFormatting>
  <conditionalFormatting sqref="G75:G85">
    <cfRule type="cellIs" priority="2" dxfId="64" operator="equal">
      <formula>0</formula>
    </cfRule>
  </conditionalFormatting>
  <conditionalFormatting sqref="G86:G97">
    <cfRule type="cellIs" priority="1" dxfId="64" operator="equal">
      <formula>0</formula>
    </cfRule>
  </conditionalFormatting>
  <dataValidations count="1">
    <dataValidation type="decimal" operator="greaterThanOrEqual" showInputMessage="1" showErrorMessage="1" prompt="Leaving blanks in this column will cause errors. If no data is available, please enter a zero. " sqref="AE25:AE108">
      <formula1>0</formula1>
    </dataValidation>
  </dataValidations>
  <printOptions/>
  <pageMargins left="0.7" right="0.7" top="0.75" bottom="0.75" header="0.3" footer="0.3"/>
  <pageSetup horizontalDpi="600" verticalDpi="600" orientation="portrait" r:id="rId17"/>
  <drawing r:id="rId16"/>
  <legacyDrawing r:id="rId13"/>
  <controls>
    <control shapeId="3073" r:id="rId1" name="CommandButton1"/>
    <control shapeId="3074" r:id="rId2" name="CommandButton2"/>
    <control shapeId="3075" r:id="rId3" name="CommandButton3"/>
    <control shapeId="3076" r:id="rId12" name="CommandButton4"/>
  </controls>
  <tableParts>
    <tablePart r:id="rId14"/>
    <tablePart r:id="rId15"/>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71D21-D940-4C87-870D-86F0FBB07EDE}">
  <sheetPr codeName="Sheet2">
    <tabColor rgb="FF0070C0"/>
  </sheetPr>
  <dimension ref="B5:N178"/>
  <sheetViews>
    <sheetView zoomScale="69" zoomScaleNormal="69" workbookViewId="0" topLeftCell="A1">
      <pane ySplit="5" topLeftCell="A6" activePane="bottomLeft" state="frozen"/>
      <selection pane="bottomLeft" activeCell="Q11" sqref="Q11"/>
    </sheetView>
  </sheetViews>
  <sheetFormatPr defaultColWidth="9.140625" defaultRowHeight="15"/>
  <cols>
    <col min="2" max="2" width="17.7109375" style="0" bestFit="1" customWidth="1"/>
    <col min="3" max="3" width="12.28125" style="0" customWidth="1"/>
    <col min="4" max="4" width="13.28125" style="0" customWidth="1"/>
    <col min="5" max="5" width="12.140625" style="0" customWidth="1"/>
    <col min="6" max="6" width="12.421875" style="0" customWidth="1"/>
    <col min="7" max="8" width="11.8515625" style="0" customWidth="1"/>
    <col min="9" max="10" width="11.00390625" style="0" customWidth="1"/>
    <col min="11" max="11" width="11.8515625" style="0" customWidth="1"/>
    <col min="12" max="12" width="13.140625" style="0" customWidth="1"/>
    <col min="13" max="13" width="11.421875" style="0" customWidth="1"/>
    <col min="14" max="14" width="12.00390625" style="0" customWidth="1"/>
  </cols>
  <sheetData>
    <row r="4" ht="15" thickBot="1"/>
    <row r="5" spans="2:14" ht="54.5" thickBot="1">
      <c r="B5" s="341" t="s">
        <v>14</v>
      </c>
      <c r="C5" s="417" t="s">
        <v>34</v>
      </c>
      <c r="D5" s="418" t="s">
        <v>42</v>
      </c>
      <c r="E5" s="418" t="s">
        <v>194</v>
      </c>
      <c r="F5" s="418" t="s">
        <v>43</v>
      </c>
      <c r="G5" s="418" t="s">
        <v>36</v>
      </c>
      <c r="H5" s="418" t="s">
        <v>74</v>
      </c>
      <c r="I5" s="419" t="s">
        <v>37</v>
      </c>
      <c r="J5" s="419" t="s">
        <v>75</v>
      </c>
      <c r="K5" s="419" t="s">
        <v>72</v>
      </c>
      <c r="L5" s="419" t="s">
        <v>38</v>
      </c>
      <c r="M5" s="419" t="s">
        <v>41</v>
      </c>
      <c r="N5" s="420" t="s">
        <v>40</v>
      </c>
    </row>
    <row r="6" spans="2:14" ht="16" thickTop="1">
      <c r="B6" s="342">
        <f>'Energy Data Entry'!B25</f>
        <v>42186</v>
      </c>
      <c r="C6" s="434">
        <v>1.56</v>
      </c>
      <c r="D6" s="444">
        <v>167.39999999999998</v>
      </c>
      <c r="E6" s="445">
        <v>4.050000000000001</v>
      </c>
      <c r="F6" s="340">
        <f>IF(C6*(D6-E6)*8.34=0,"",C6*(D6-E6)*8.34)</f>
        <v>2125.2488399999997</v>
      </c>
      <c r="G6" s="412">
        <v>31</v>
      </c>
      <c r="H6" s="412">
        <v>14</v>
      </c>
      <c r="I6" s="475"/>
      <c r="J6" s="412">
        <v>3</v>
      </c>
      <c r="K6" s="412">
        <v>1.2</v>
      </c>
      <c r="L6" s="412">
        <v>17.4</v>
      </c>
      <c r="M6" s="412">
        <v>9.1</v>
      </c>
      <c r="N6" s="413">
        <v>0.8</v>
      </c>
    </row>
    <row r="7" spans="2:14" ht="15.5">
      <c r="B7" s="343">
        <f>'Energy Data Entry'!B26</f>
        <v>42217</v>
      </c>
      <c r="C7" s="435">
        <v>1.92</v>
      </c>
      <c r="D7" s="446">
        <v>196.20000000000002</v>
      </c>
      <c r="E7" s="446">
        <v>4.2</v>
      </c>
      <c r="F7" s="311">
        <f aca="true" t="shared" si="0" ref="F7:F17">IF(C7*(D7-E7)*8.34=0,"",C7*(D7-E7)*8.34)</f>
        <v>3074.4576</v>
      </c>
      <c r="G7" s="410">
        <v>33</v>
      </c>
      <c r="H7" s="410">
        <v>18</v>
      </c>
      <c r="I7" s="476"/>
      <c r="J7" s="410">
        <v>3.1</v>
      </c>
      <c r="K7" s="410">
        <v>1.2</v>
      </c>
      <c r="L7" s="410">
        <v>20.3</v>
      </c>
      <c r="M7" s="410">
        <v>7.9</v>
      </c>
      <c r="N7" s="414">
        <v>0.5</v>
      </c>
    </row>
    <row r="8" spans="2:14" ht="15.5">
      <c r="B8" s="343">
        <f>'Energy Data Entry'!B27</f>
        <v>42248</v>
      </c>
      <c r="C8" s="435">
        <v>2.08</v>
      </c>
      <c r="D8" s="446">
        <v>169.2</v>
      </c>
      <c r="E8" s="446">
        <v>5.25</v>
      </c>
      <c r="F8" s="311">
        <f t="shared" si="0"/>
        <v>2844.0734399999997</v>
      </c>
      <c r="G8" s="410">
        <v>36</v>
      </c>
      <c r="H8" s="410">
        <v>15</v>
      </c>
      <c r="I8" s="476"/>
      <c r="J8" s="410">
        <v>3</v>
      </c>
      <c r="K8" s="410">
        <v>1.5</v>
      </c>
      <c r="L8" s="410">
        <v>13.7</v>
      </c>
      <c r="M8" s="410">
        <v>8.5</v>
      </c>
      <c r="N8" s="414">
        <v>1.2</v>
      </c>
    </row>
    <row r="9" spans="2:14" ht="15.5">
      <c r="B9" s="343">
        <f>'Energy Data Entry'!B28</f>
        <v>42278</v>
      </c>
      <c r="C9" s="435">
        <v>1.68</v>
      </c>
      <c r="D9" s="446">
        <v>156.6</v>
      </c>
      <c r="E9" s="446">
        <v>3.95</v>
      </c>
      <c r="F9" s="311">
        <f t="shared" si="0"/>
        <v>2138.80968</v>
      </c>
      <c r="G9" s="410">
        <v>34</v>
      </c>
      <c r="H9" s="410">
        <v>14</v>
      </c>
      <c r="I9" s="476"/>
      <c r="J9" s="410">
        <v>3</v>
      </c>
      <c r="K9" s="410">
        <v>1.2</v>
      </c>
      <c r="L9" s="410">
        <v>9.6</v>
      </c>
      <c r="M9" s="410">
        <v>6.9</v>
      </c>
      <c r="N9" s="414">
        <v>0.8</v>
      </c>
    </row>
    <row r="10" spans="2:14" ht="15.5">
      <c r="B10" s="343">
        <f>'Energy Data Entry'!B29</f>
        <v>42309</v>
      </c>
      <c r="C10" s="435">
        <v>1.92</v>
      </c>
      <c r="D10" s="446">
        <v>153</v>
      </c>
      <c r="E10" s="446">
        <v>6.1</v>
      </c>
      <c r="F10" s="311">
        <f t="shared" si="0"/>
        <v>2352.28032</v>
      </c>
      <c r="G10" s="410">
        <v>31</v>
      </c>
      <c r="H10" s="410">
        <v>16</v>
      </c>
      <c r="I10" s="476"/>
      <c r="J10" s="410">
        <v>3</v>
      </c>
      <c r="K10" s="410">
        <v>1.5</v>
      </c>
      <c r="L10" s="410">
        <v>10.5</v>
      </c>
      <c r="M10" s="410">
        <v>9.4</v>
      </c>
      <c r="N10" s="414">
        <v>0.8</v>
      </c>
    </row>
    <row r="11" spans="2:14" ht="15.5">
      <c r="B11" s="343">
        <f>'Energy Data Entry'!B30</f>
        <v>42339</v>
      </c>
      <c r="C11" s="435">
        <v>1.68</v>
      </c>
      <c r="D11" s="446">
        <v>214.2</v>
      </c>
      <c r="E11" s="446">
        <v>5.5</v>
      </c>
      <c r="F11" s="311">
        <f t="shared" si="0"/>
        <v>2924.13744</v>
      </c>
      <c r="G11" s="410">
        <v>36</v>
      </c>
      <c r="H11" s="410">
        <v>12</v>
      </c>
      <c r="I11" s="476"/>
      <c r="J11" s="410">
        <v>3.3</v>
      </c>
      <c r="K11" s="410">
        <v>1</v>
      </c>
      <c r="L11" s="410">
        <v>13.2</v>
      </c>
      <c r="M11" s="410">
        <v>7.2</v>
      </c>
      <c r="N11" s="414">
        <v>1</v>
      </c>
    </row>
    <row r="12" spans="2:14" ht="15.5">
      <c r="B12" s="343">
        <f>'Energy Data Entry'!B31</f>
        <v>42370</v>
      </c>
      <c r="C12" s="435">
        <v>2</v>
      </c>
      <c r="D12" s="446">
        <v>140.4</v>
      </c>
      <c r="E12" s="446">
        <v>4.75</v>
      </c>
      <c r="F12" s="311">
        <f t="shared" si="0"/>
        <v>2262.6420000000003</v>
      </c>
      <c r="G12" s="410">
        <v>32</v>
      </c>
      <c r="H12" s="410">
        <v>12</v>
      </c>
      <c r="I12" s="476"/>
      <c r="J12" s="410">
        <v>2.9</v>
      </c>
      <c r="K12" s="410">
        <v>1.5</v>
      </c>
      <c r="L12" s="410">
        <v>10.2</v>
      </c>
      <c r="M12" s="410">
        <v>8.6</v>
      </c>
      <c r="N12" s="414">
        <v>0.7</v>
      </c>
    </row>
    <row r="13" spans="2:14" ht="15.5">
      <c r="B13" s="343">
        <f>'Energy Data Entry'!B32</f>
        <v>42401</v>
      </c>
      <c r="C13" s="435">
        <v>1.8</v>
      </c>
      <c r="D13" s="446">
        <v>160.2</v>
      </c>
      <c r="E13" s="446">
        <v>4.35</v>
      </c>
      <c r="F13" s="311">
        <f t="shared" si="0"/>
        <v>2339.6202</v>
      </c>
      <c r="G13" s="410">
        <v>36</v>
      </c>
      <c r="H13" s="410">
        <v>17</v>
      </c>
      <c r="I13" s="476"/>
      <c r="J13" s="410">
        <v>2.9</v>
      </c>
      <c r="K13" s="410">
        <v>1</v>
      </c>
      <c r="L13" s="410">
        <v>15.6</v>
      </c>
      <c r="M13" s="410">
        <v>9.2</v>
      </c>
      <c r="N13" s="414">
        <v>0.8</v>
      </c>
    </row>
    <row r="14" spans="2:14" ht="15.5">
      <c r="B14" s="343">
        <f>'Energy Data Entry'!B33</f>
        <v>42430</v>
      </c>
      <c r="C14" s="435">
        <v>2.18</v>
      </c>
      <c r="D14" s="446">
        <v>136.8</v>
      </c>
      <c r="E14" s="446">
        <v>4.35</v>
      </c>
      <c r="F14" s="311">
        <f t="shared" si="0"/>
        <v>2408.0999400000005</v>
      </c>
      <c r="G14" s="410">
        <v>31</v>
      </c>
      <c r="H14" s="410">
        <v>12</v>
      </c>
      <c r="I14" s="476"/>
      <c r="J14" s="410">
        <v>2.9</v>
      </c>
      <c r="K14" s="410">
        <v>1.1</v>
      </c>
      <c r="L14" s="410">
        <v>20.4</v>
      </c>
      <c r="M14" s="410">
        <v>9</v>
      </c>
      <c r="N14" s="414">
        <v>0.6</v>
      </c>
    </row>
    <row r="15" spans="2:14" ht="15.5">
      <c r="B15" s="343">
        <f>'Energy Data Entry'!B34</f>
        <v>42461</v>
      </c>
      <c r="C15" s="435">
        <v>1.52</v>
      </c>
      <c r="D15" s="446">
        <v>194.4</v>
      </c>
      <c r="E15" s="446">
        <v>5.2</v>
      </c>
      <c r="F15" s="311">
        <f t="shared" si="0"/>
        <v>2398.4505599999998</v>
      </c>
      <c r="G15" s="410">
        <v>40</v>
      </c>
      <c r="H15" s="410">
        <v>15</v>
      </c>
      <c r="I15" s="476"/>
      <c r="J15" s="410">
        <v>2.9</v>
      </c>
      <c r="K15" s="410">
        <v>1.6</v>
      </c>
      <c r="L15" s="410">
        <v>19.4</v>
      </c>
      <c r="M15" s="410">
        <v>7.6</v>
      </c>
      <c r="N15" s="414">
        <v>1.5</v>
      </c>
    </row>
    <row r="16" spans="2:14" ht="15.5">
      <c r="B16" s="343">
        <f>'Energy Data Entry'!B35</f>
        <v>42491</v>
      </c>
      <c r="C16" s="435">
        <v>2.14</v>
      </c>
      <c r="D16" s="446">
        <v>169.2</v>
      </c>
      <c r="E16" s="446">
        <v>5.25</v>
      </c>
      <c r="F16" s="311">
        <f t="shared" si="0"/>
        <v>2926.11402</v>
      </c>
      <c r="G16" s="410">
        <v>34</v>
      </c>
      <c r="H16" s="410">
        <v>11</v>
      </c>
      <c r="I16" s="476"/>
      <c r="J16" s="410">
        <v>2.7</v>
      </c>
      <c r="K16" s="410">
        <v>0.8</v>
      </c>
      <c r="L16" s="410">
        <v>13.8</v>
      </c>
      <c r="M16" s="410">
        <v>7.2</v>
      </c>
      <c r="N16" s="414">
        <v>1.3</v>
      </c>
    </row>
    <row r="17" spans="2:14" ht="16" thickBot="1">
      <c r="B17" s="344">
        <f>'Energy Data Entry'!B36</f>
        <v>42522</v>
      </c>
      <c r="C17" s="436">
        <v>2.2</v>
      </c>
      <c r="D17" s="447">
        <v>140.4</v>
      </c>
      <c r="E17" s="447">
        <v>4.5</v>
      </c>
      <c r="F17" s="333">
        <f t="shared" si="0"/>
        <v>2493.4932</v>
      </c>
      <c r="G17" s="411">
        <v>34</v>
      </c>
      <c r="H17" s="411">
        <v>13</v>
      </c>
      <c r="I17" s="477"/>
      <c r="J17" s="411">
        <v>2.9</v>
      </c>
      <c r="K17" s="411">
        <v>1</v>
      </c>
      <c r="L17" s="411">
        <v>20.1</v>
      </c>
      <c r="M17" s="411">
        <v>7.8</v>
      </c>
      <c r="N17" s="415">
        <v>1.5</v>
      </c>
    </row>
    <row r="18" spans="2:14" ht="15.5">
      <c r="B18" s="345">
        <f>'Energy Data Entry'!B37</f>
        <v>42552</v>
      </c>
      <c r="C18" s="437">
        <v>1.68</v>
      </c>
      <c r="D18" s="444">
        <v>149.4</v>
      </c>
      <c r="E18" s="444">
        <v>4.1499999999999995</v>
      </c>
      <c r="F18" s="332">
        <f>IF(C18*(D18-E18)*8.34=0,"",C18*(D18-E18)*8.34)</f>
        <v>2035.1267999999998</v>
      </c>
      <c r="G18" s="409">
        <v>31</v>
      </c>
      <c r="H18" s="409">
        <v>18</v>
      </c>
      <c r="I18" s="478"/>
      <c r="J18" s="409">
        <v>3.2</v>
      </c>
      <c r="K18" s="409">
        <v>1.3</v>
      </c>
      <c r="L18" s="409">
        <v>9.5</v>
      </c>
      <c r="M18" s="409">
        <v>7.2</v>
      </c>
      <c r="N18" s="416">
        <v>1</v>
      </c>
    </row>
    <row r="19" spans="2:14" ht="15.5">
      <c r="B19" s="343">
        <f>'Energy Data Entry'!B38</f>
        <v>42583</v>
      </c>
      <c r="C19" s="438">
        <v>2.5</v>
      </c>
      <c r="D19" s="446">
        <v>201.60000000000002</v>
      </c>
      <c r="E19" s="446">
        <v>5.3500000000000005</v>
      </c>
      <c r="F19" s="164">
        <f aca="true" t="shared" si="1" ref="F19:F82">IF(C19*(D19-E19)*8.34=0,"",C19*(D19-E19)*8.34)</f>
        <v>4091.8125000000005</v>
      </c>
      <c r="G19" s="410">
        <v>40</v>
      </c>
      <c r="H19" s="410">
        <v>16</v>
      </c>
      <c r="I19" s="476"/>
      <c r="J19" s="410">
        <v>2.7</v>
      </c>
      <c r="K19" s="410">
        <v>0.9</v>
      </c>
      <c r="L19" s="410">
        <v>13.4</v>
      </c>
      <c r="M19" s="410">
        <v>8.6</v>
      </c>
      <c r="N19" s="414">
        <v>1.2</v>
      </c>
    </row>
    <row r="20" spans="2:14" ht="15.5">
      <c r="B20" s="343">
        <f>'Energy Data Entry'!B39</f>
        <v>42614</v>
      </c>
      <c r="C20" s="438">
        <v>1.98</v>
      </c>
      <c r="D20" s="446">
        <v>219.6</v>
      </c>
      <c r="E20" s="446">
        <v>6</v>
      </c>
      <c r="F20" s="164">
        <f t="shared" si="1"/>
        <v>3527.21952</v>
      </c>
      <c r="G20" s="410">
        <v>34</v>
      </c>
      <c r="H20" s="410">
        <v>15</v>
      </c>
      <c r="I20" s="476"/>
      <c r="J20" s="410">
        <v>2.8</v>
      </c>
      <c r="K20" s="410">
        <v>1.3</v>
      </c>
      <c r="L20" s="410">
        <v>20.3</v>
      </c>
      <c r="M20" s="410">
        <v>9</v>
      </c>
      <c r="N20" s="414">
        <v>1.2</v>
      </c>
    </row>
    <row r="21" spans="2:14" ht="15.5">
      <c r="B21" s="343">
        <f>'Energy Data Entry'!B40</f>
        <v>42644</v>
      </c>
      <c r="C21" s="438">
        <v>2.2800000000000002</v>
      </c>
      <c r="D21" s="446">
        <v>206.99999999999997</v>
      </c>
      <c r="E21" s="446">
        <v>3.75</v>
      </c>
      <c r="F21" s="164">
        <f t="shared" si="1"/>
        <v>3864.8394</v>
      </c>
      <c r="G21" s="410">
        <v>35</v>
      </c>
      <c r="H21" s="410">
        <v>15</v>
      </c>
      <c r="I21" s="476"/>
      <c r="J21" s="410">
        <v>2.9</v>
      </c>
      <c r="K21" s="410">
        <v>1.6</v>
      </c>
      <c r="L21" s="410">
        <v>20.1</v>
      </c>
      <c r="M21" s="410">
        <v>8</v>
      </c>
      <c r="N21" s="414">
        <v>1.2</v>
      </c>
    </row>
    <row r="22" spans="2:14" ht="15.5">
      <c r="B22" s="343">
        <f>'Energy Data Entry'!B41</f>
        <v>42675</v>
      </c>
      <c r="C22" s="438">
        <v>2.2800000000000002</v>
      </c>
      <c r="D22" s="446">
        <v>221.4</v>
      </c>
      <c r="E22" s="446">
        <v>4.6000000000000005</v>
      </c>
      <c r="F22" s="164">
        <f t="shared" si="1"/>
        <v>4122.495360000001</v>
      </c>
      <c r="G22" s="410">
        <v>39</v>
      </c>
      <c r="H22" s="410">
        <v>11</v>
      </c>
      <c r="I22" s="476"/>
      <c r="J22" s="410">
        <v>2.8</v>
      </c>
      <c r="K22" s="410">
        <v>1.6</v>
      </c>
      <c r="L22" s="410">
        <v>9.6</v>
      </c>
      <c r="M22" s="410">
        <v>7.4</v>
      </c>
      <c r="N22" s="414">
        <v>1.3</v>
      </c>
    </row>
    <row r="23" spans="2:14" ht="15.5">
      <c r="B23" s="343">
        <f>'Energy Data Entry'!B42</f>
        <v>42705</v>
      </c>
      <c r="C23" s="438">
        <v>2.3</v>
      </c>
      <c r="D23" s="446">
        <v>160.2</v>
      </c>
      <c r="E23" s="446">
        <v>5</v>
      </c>
      <c r="F23" s="164">
        <f t="shared" si="1"/>
        <v>2977.0463999999993</v>
      </c>
      <c r="G23" s="410">
        <v>31</v>
      </c>
      <c r="H23" s="410">
        <v>15</v>
      </c>
      <c r="I23" s="476"/>
      <c r="J23" s="410">
        <v>3</v>
      </c>
      <c r="K23" s="410">
        <v>1.1</v>
      </c>
      <c r="L23" s="410">
        <v>11.7</v>
      </c>
      <c r="M23" s="410">
        <v>6.9</v>
      </c>
      <c r="N23" s="414">
        <v>1.3</v>
      </c>
    </row>
    <row r="24" spans="2:14" ht="15.5">
      <c r="B24" s="343">
        <f>'Energy Data Entry'!B43</f>
        <v>42736</v>
      </c>
      <c r="C24" s="438">
        <v>2.4</v>
      </c>
      <c r="D24" s="446">
        <v>172.79999999999998</v>
      </c>
      <c r="E24" s="446">
        <v>5.25</v>
      </c>
      <c r="F24" s="164">
        <f t="shared" si="1"/>
        <v>3353.6807999999996</v>
      </c>
      <c r="G24" s="410">
        <v>31</v>
      </c>
      <c r="H24" s="410">
        <v>14</v>
      </c>
      <c r="I24" s="476"/>
      <c r="J24" s="410">
        <v>3.1</v>
      </c>
      <c r="K24" s="410">
        <v>1.6</v>
      </c>
      <c r="L24" s="410">
        <v>11.1</v>
      </c>
      <c r="M24" s="410">
        <v>7</v>
      </c>
      <c r="N24" s="414">
        <v>0.8</v>
      </c>
    </row>
    <row r="25" spans="2:14" ht="15.5">
      <c r="B25" s="343">
        <f>'Energy Data Entry'!B44</f>
        <v>42767</v>
      </c>
      <c r="C25" s="438">
        <v>1.82</v>
      </c>
      <c r="D25" s="446">
        <v>201.60000000000002</v>
      </c>
      <c r="E25" s="446">
        <v>4.8</v>
      </c>
      <c r="F25" s="164">
        <f t="shared" si="1"/>
        <v>2987.1878400000005</v>
      </c>
      <c r="G25" s="410">
        <v>33</v>
      </c>
      <c r="H25" s="410">
        <v>12</v>
      </c>
      <c r="I25" s="476"/>
      <c r="J25" s="410">
        <v>3.1</v>
      </c>
      <c r="K25" s="410">
        <v>0.8</v>
      </c>
      <c r="L25" s="410">
        <v>21</v>
      </c>
      <c r="M25" s="410">
        <v>8.4</v>
      </c>
      <c r="N25" s="414">
        <v>0.7</v>
      </c>
    </row>
    <row r="26" spans="2:14" ht="15.5">
      <c r="B26" s="343">
        <f>'Energy Data Entry'!B45</f>
        <v>42795</v>
      </c>
      <c r="C26" s="438">
        <v>2.44</v>
      </c>
      <c r="D26" s="446">
        <v>181.8</v>
      </c>
      <c r="E26" s="446">
        <v>4.4</v>
      </c>
      <c r="F26" s="164">
        <f t="shared" si="1"/>
        <v>3610.0190399999997</v>
      </c>
      <c r="G26" s="410">
        <v>32</v>
      </c>
      <c r="H26" s="410">
        <v>11</v>
      </c>
      <c r="I26" s="476"/>
      <c r="J26" s="410">
        <v>3.2</v>
      </c>
      <c r="K26" s="410">
        <v>1.4</v>
      </c>
      <c r="L26" s="410">
        <v>18.2</v>
      </c>
      <c r="M26" s="410">
        <v>8.6</v>
      </c>
      <c r="N26" s="414">
        <v>0.8</v>
      </c>
    </row>
    <row r="27" spans="2:14" ht="15.5">
      <c r="B27" s="343">
        <f>'Energy Data Entry'!B46</f>
        <v>42826</v>
      </c>
      <c r="C27" s="438">
        <v>1.62</v>
      </c>
      <c r="D27" s="446">
        <v>167.39999999999998</v>
      </c>
      <c r="E27" s="446">
        <v>5.949999999999999</v>
      </c>
      <c r="F27" s="164">
        <f t="shared" si="1"/>
        <v>2181.31866</v>
      </c>
      <c r="G27" s="410">
        <v>33</v>
      </c>
      <c r="H27" s="410">
        <v>14</v>
      </c>
      <c r="I27" s="476"/>
      <c r="J27" s="410">
        <v>2.8</v>
      </c>
      <c r="K27" s="410">
        <v>0.9</v>
      </c>
      <c r="L27" s="410">
        <v>11</v>
      </c>
      <c r="M27" s="410">
        <v>7.8</v>
      </c>
      <c r="N27" s="414">
        <v>1.5</v>
      </c>
    </row>
    <row r="28" spans="2:14" ht="15.5">
      <c r="B28" s="343">
        <f>'Energy Data Entry'!B47</f>
        <v>42856</v>
      </c>
      <c r="C28" s="438">
        <v>2.44</v>
      </c>
      <c r="D28" s="446">
        <v>145.8</v>
      </c>
      <c r="E28" s="446">
        <v>4.3</v>
      </c>
      <c r="F28" s="164">
        <f t="shared" si="1"/>
        <v>2879.4683999999997</v>
      </c>
      <c r="G28" s="410">
        <v>36</v>
      </c>
      <c r="H28" s="410">
        <v>11</v>
      </c>
      <c r="I28" s="476"/>
      <c r="J28" s="410">
        <v>3</v>
      </c>
      <c r="K28" s="410">
        <v>0.8</v>
      </c>
      <c r="L28" s="410">
        <v>16.5</v>
      </c>
      <c r="M28" s="410">
        <v>7.8</v>
      </c>
      <c r="N28" s="414">
        <v>1.2</v>
      </c>
    </row>
    <row r="29" spans="2:14" ht="16" thickBot="1">
      <c r="B29" s="344">
        <f>'Energy Data Entry'!B48</f>
        <v>42887</v>
      </c>
      <c r="C29" s="439">
        <v>2</v>
      </c>
      <c r="D29" s="447">
        <v>151.2</v>
      </c>
      <c r="E29" s="447">
        <v>3.85</v>
      </c>
      <c r="F29" s="333">
        <f t="shared" si="1"/>
        <v>2457.798</v>
      </c>
      <c r="G29" s="411">
        <v>39</v>
      </c>
      <c r="H29" s="411">
        <v>14</v>
      </c>
      <c r="I29" s="477"/>
      <c r="J29" s="411">
        <v>3.2</v>
      </c>
      <c r="K29" s="411">
        <v>1.5</v>
      </c>
      <c r="L29" s="411">
        <v>11.6</v>
      </c>
      <c r="M29" s="411">
        <v>8.5</v>
      </c>
      <c r="N29" s="415">
        <v>0.7</v>
      </c>
    </row>
    <row r="30" spans="2:14" ht="15.5">
      <c r="B30" s="346">
        <f>'Energy Data Entry'!B49</f>
        <v>42917</v>
      </c>
      <c r="C30" s="427">
        <v>1.88</v>
      </c>
      <c r="D30" s="444">
        <v>194.4</v>
      </c>
      <c r="E30" s="444">
        <v>3.75</v>
      </c>
      <c r="F30" s="332">
        <f t="shared" si="1"/>
        <v>2989.2394799999997</v>
      </c>
      <c r="G30" s="409">
        <v>39</v>
      </c>
      <c r="H30" s="409">
        <v>16</v>
      </c>
      <c r="I30" s="478"/>
      <c r="J30" s="409">
        <v>2.9</v>
      </c>
      <c r="K30" s="409">
        <v>1.2</v>
      </c>
      <c r="L30" s="409">
        <v>11.5</v>
      </c>
      <c r="M30" s="409">
        <v>7.5</v>
      </c>
      <c r="N30" s="416">
        <v>1.3</v>
      </c>
    </row>
    <row r="31" spans="2:14" ht="15.5">
      <c r="B31" s="347">
        <f>'Energy Data Entry'!B50</f>
        <v>42948</v>
      </c>
      <c r="C31" s="428">
        <v>2.46</v>
      </c>
      <c r="D31" s="446">
        <v>187.20000000000002</v>
      </c>
      <c r="E31" s="446">
        <v>6.25</v>
      </c>
      <c r="F31" s="164">
        <f t="shared" si="1"/>
        <v>3712.4425800000004</v>
      </c>
      <c r="G31" s="410">
        <v>31</v>
      </c>
      <c r="H31" s="410">
        <v>18</v>
      </c>
      <c r="I31" s="476"/>
      <c r="J31" s="410">
        <v>2.8</v>
      </c>
      <c r="K31" s="410">
        <v>0.8</v>
      </c>
      <c r="L31" s="410">
        <v>9.6</v>
      </c>
      <c r="M31" s="410">
        <v>8.3</v>
      </c>
      <c r="N31" s="414">
        <v>1.1</v>
      </c>
    </row>
    <row r="32" spans="2:14" ht="15.5">
      <c r="B32" s="347">
        <f>'Energy Data Entry'!B51</f>
        <v>42979</v>
      </c>
      <c r="C32" s="428">
        <v>2.18</v>
      </c>
      <c r="D32" s="446">
        <v>167.39999999999998</v>
      </c>
      <c r="E32" s="446">
        <v>4.85</v>
      </c>
      <c r="F32" s="406">
        <f t="shared" si="1"/>
        <v>2955.3540599999997</v>
      </c>
      <c r="G32" s="410">
        <v>37</v>
      </c>
      <c r="H32" s="410">
        <v>14</v>
      </c>
      <c r="I32" s="476"/>
      <c r="J32" s="410">
        <v>2.9</v>
      </c>
      <c r="K32" s="410">
        <v>1.4</v>
      </c>
      <c r="L32" s="410">
        <v>9.8</v>
      </c>
      <c r="M32" s="410">
        <v>7.7</v>
      </c>
      <c r="N32" s="414">
        <v>1.1</v>
      </c>
    </row>
    <row r="33" spans="2:14" ht="15.5">
      <c r="B33" s="347">
        <f>'Energy Data Entry'!B52</f>
        <v>43009</v>
      </c>
      <c r="C33" s="428">
        <v>1.68</v>
      </c>
      <c r="D33" s="446">
        <v>194.4</v>
      </c>
      <c r="E33" s="446">
        <v>5.45</v>
      </c>
      <c r="F33" s="406">
        <f t="shared" si="1"/>
        <v>2647.4162400000005</v>
      </c>
      <c r="G33" s="410">
        <v>39</v>
      </c>
      <c r="H33" s="410">
        <v>11</v>
      </c>
      <c r="I33" s="476"/>
      <c r="J33" s="410">
        <v>2.8</v>
      </c>
      <c r="K33" s="410">
        <v>1</v>
      </c>
      <c r="L33" s="410">
        <v>11.5</v>
      </c>
      <c r="M33" s="410">
        <v>8.8</v>
      </c>
      <c r="N33" s="414">
        <v>1.1</v>
      </c>
    </row>
    <row r="34" spans="2:14" ht="15.5">
      <c r="B34" s="347">
        <f>'Energy Data Entry'!B53</f>
        <v>43040</v>
      </c>
      <c r="C34" s="428">
        <v>1.82</v>
      </c>
      <c r="D34" s="446">
        <v>145.8</v>
      </c>
      <c r="E34" s="446">
        <v>6.05</v>
      </c>
      <c r="F34" s="406">
        <f t="shared" si="1"/>
        <v>2121.2373</v>
      </c>
      <c r="G34" s="410">
        <v>31</v>
      </c>
      <c r="H34" s="410">
        <v>16</v>
      </c>
      <c r="I34" s="476"/>
      <c r="J34" s="410">
        <v>2.7</v>
      </c>
      <c r="K34" s="410">
        <v>1.1</v>
      </c>
      <c r="L34" s="410">
        <v>11.3</v>
      </c>
      <c r="M34" s="410">
        <v>7.4</v>
      </c>
      <c r="N34" s="414">
        <v>1</v>
      </c>
    </row>
    <row r="35" spans="2:14" ht="15.5">
      <c r="B35" s="347">
        <f>'Energy Data Entry'!B54</f>
        <v>43070</v>
      </c>
      <c r="C35" s="428">
        <v>1.92</v>
      </c>
      <c r="D35" s="446">
        <v>198.00000000000003</v>
      </c>
      <c r="E35" s="446">
        <v>3.95</v>
      </c>
      <c r="F35" s="406">
        <f t="shared" si="1"/>
        <v>3107.2838400000005</v>
      </c>
      <c r="G35" s="410">
        <v>35</v>
      </c>
      <c r="H35" s="410">
        <v>17</v>
      </c>
      <c r="I35" s="476"/>
      <c r="J35" s="410">
        <v>2.8</v>
      </c>
      <c r="K35" s="410">
        <v>1.2</v>
      </c>
      <c r="L35" s="410">
        <v>9.3</v>
      </c>
      <c r="M35" s="410">
        <v>7.3</v>
      </c>
      <c r="N35" s="414">
        <v>1.4</v>
      </c>
    </row>
    <row r="36" spans="2:14" ht="15.5">
      <c r="B36" s="347">
        <f>'Energy Data Entry'!B55</f>
        <v>43101</v>
      </c>
      <c r="C36" s="429">
        <v>1.68</v>
      </c>
      <c r="D36" s="446">
        <v>174.6</v>
      </c>
      <c r="E36" s="446">
        <v>4.2</v>
      </c>
      <c r="F36" s="406">
        <f t="shared" si="1"/>
        <v>2387.50848</v>
      </c>
      <c r="G36" s="410">
        <v>30</v>
      </c>
      <c r="H36" s="410">
        <v>12</v>
      </c>
      <c r="I36" s="476"/>
      <c r="J36" s="410">
        <v>2.9</v>
      </c>
      <c r="K36" s="410">
        <v>1.5</v>
      </c>
      <c r="L36" s="410">
        <v>8.6</v>
      </c>
      <c r="M36" s="410">
        <v>7</v>
      </c>
      <c r="N36" s="414">
        <v>1.3</v>
      </c>
    </row>
    <row r="37" spans="2:14" ht="15.5">
      <c r="B37" s="347">
        <f>'Energy Data Entry'!B56</f>
        <v>43132</v>
      </c>
      <c r="C37" s="429">
        <v>2.24</v>
      </c>
      <c r="D37" s="446">
        <v>201.60000000000002</v>
      </c>
      <c r="E37" s="446">
        <v>4.55</v>
      </c>
      <c r="F37" s="406">
        <f t="shared" si="1"/>
        <v>3681.2092800000005</v>
      </c>
      <c r="G37" s="410">
        <v>39</v>
      </c>
      <c r="H37" s="410">
        <v>12</v>
      </c>
      <c r="I37" s="476"/>
      <c r="J37" s="410">
        <v>2.9</v>
      </c>
      <c r="K37" s="410">
        <v>0.8</v>
      </c>
      <c r="L37" s="410">
        <v>10.4</v>
      </c>
      <c r="M37" s="410">
        <v>8.1</v>
      </c>
      <c r="N37" s="414">
        <v>1.4</v>
      </c>
    </row>
    <row r="38" spans="2:14" ht="15.5">
      <c r="B38" s="347">
        <f>'Energy Data Entry'!B57</f>
        <v>43160</v>
      </c>
      <c r="C38" s="429">
        <v>2.34</v>
      </c>
      <c r="D38" s="446">
        <v>183.6</v>
      </c>
      <c r="E38" s="446">
        <v>4.2</v>
      </c>
      <c r="F38" s="406">
        <f t="shared" si="1"/>
        <v>3501.0986399999997</v>
      </c>
      <c r="G38" s="410">
        <v>36</v>
      </c>
      <c r="H38" s="410">
        <v>13</v>
      </c>
      <c r="I38" s="476"/>
      <c r="J38" s="410">
        <v>2.9</v>
      </c>
      <c r="K38" s="410">
        <v>0.9</v>
      </c>
      <c r="L38" s="410">
        <v>11</v>
      </c>
      <c r="M38" s="410">
        <v>8.2</v>
      </c>
      <c r="N38" s="414">
        <v>1.1</v>
      </c>
    </row>
    <row r="39" spans="2:14" ht="15.5">
      <c r="B39" s="347">
        <f>'Energy Data Entry'!B58</f>
        <v>43191</v>
      </c>
      <c r="C39" s="429">
        <v>2.26</v>
      </c>
      <c r="D39" s="446">
        <v>153</v>
      </c>
      <c r="E39" s="446">
        <v>5.45</v>
      </c>
      <c r="F39" s="406">
        <f t="shared" si="1"/>
        <v>2781.08142</v>
      </c>
      <c r="G39" s="410">
        <v>36</v>
      </c>
      <c r="H39" s="410">
        <v>13</v>
      </c>
      <c r="I39" s="476"/>
      <c r="J39" s="410">
        <v>3.1</v>
      </c>
      <c r="K39" s="410">
        <v>1.2</v>
      </c>
      <c r="L39" s="410">
        <v>11.6</v>
      </c>
      <c r="M39" s="410">
        <v>7.1</v>
      </c>
      <c r="N39" s="414">
        <v>1.2</v>
      </c>
    </row>
    <row r="40" spans="2:14" ht="15.5">
      <c r="B40" s="347">
        <f>'Energy Data Entry'!B59</f>
        <v>43221</v>
      </c>
      <c r="C40" s="429">
        <v>1.88</v>
      </c>
      <c r="D40" s="446">
        <v>140.4</v>
      </c>
      <c r="E40" s="446">
        <v>4.55</v>
      </c>
      <c r="F40" s="406">
        <f t="shared" si="1"/>
        <v>2130.01932</v>
      </c>
      <c r="G40" s="410">
        <v>35</v>
      </c>
      <c r="H40" s="410">
        <v>15</v>
      </c>
      <c r="I40" s="476"/>
      <c r="J40" s="410">
        <v>3.2</v>
      </c>
      <c r="K40" s="410">
        <v>1.5</v>
      </c>
      <c r="L40" s="410">
        <v>9.2</v>
      </c>
      <c r="M40" s="410">
        <v>8.4</v>
      </c>
      <c r="N40" s="414">
        <v>1.2</v>
      </c>
    </row>
    <row r="41" spans="2:14" ht="16" thickBot="1">
      <c r="B41" s="348">
        <f>'Energy Data Entry'!B60</f>
        <v>43252</v>
      </c>
      <c r="C41" s="430">
        <v>1.52</v>
      </c>
      <c r="D41" s="447">
        <v>225</v>
      </c>
      <c r="E41" s="447">
        <v>3.95</v>
      </c>
      <c r="F41" s="407">
        <f>IF(C41*(D41-E41)*8.34=0,"",C41*(D41-E41)*8.34)</f>
        <v>2802.2066400000003</v>
      </c>
      <c r="G41" s="411">
        <v>32</v>
      </c>
      <c r="H41" s="411">
        <v>11</v>
      </c>
      <c r="I41" s="477"/>
      <c r="J41" s="411">
        <v>2.8</v>
      </c>
      <c r="K41" s="411">
        <v>1.4</v>
      </c>
      <c r="L41" s="411">
        <v>9.2</v>
      </c>
      <c r="M41" s="411">
        <v>8.9</v>
      </c>
      <c r="N41" s="415">
        <v>0.7</v>
      </c>
    </row>
    <row r="42" spans="2:14" ht="15.5">
      <c r="B42" s="346">
        <f>'Energy Data Entry'!B61</f>
        <v>43282</v>
      </c>
      <c r="C42" s="431">
        <v>2.06</v>
      </c>
      <c r="D42" s="444">
        <v>165.6</v>
      </c>
      <c r="E42" s="444">
        <v>4.25</v>
      </c>
      <c r="F42" s="408">
        <f t="shared" si="1"/>
        <v>2772.05754</v>
      </c>
      <c r="G42" s="409">
        <v>30</v>
      </c>
      <c r="H42" s="409">
        <v>13</v>
      </c>
      <c r="I42" s="478"/>
      <c r="J42" s="409">
        <v>3.2</v>
      </c>
      <c r="K42" s="409">
        <v>1</v>
      </c>
      <c r="L42" s="409">
        <v>10.5</v>
      </c>
      <c r="M42" s="409">
        <v>9.6</v>
      </c>
      <c r="N42" s="416">
        <v>1.2</v>
      </c>
    </row>
    <row r="43" spans="2:14" ht="15.5">
      <c r="B43" s="347">
        <f>'Energy Data Entry'!B62</f>
        <v>43313</v>
      </c>
      <c r="C43" s="432">
        <v>2.16</v>
      </c>
      <c r="D43" s="446">
        <v>183.6</v>
      </c>
      <c r="E43" s="446">
        <v>5.6499999999999995</v>
      </c>
      <c r="F43" s="406">
        <f t="shared" si="1"/>
        <v>3205.66248</v>
      </c>
      <c r="G43" s="410">
        <v>37</v>
      </c>
      <c r="H43" s="410">
        <v>14</v>
      </c>
      <c r="I43" s="476"/>
      <c r="J43" s="410">
        <v>3</v>
      </c>
      <c r="K43" s="410">
        <v>1.3</v>
      </c>
      <c r="L43" s="410">
        <v>8.3</v>
      </c>
      <c r="M43" s="410">
        <v>7.8</v>
      </c>
      <c r="N43" s="414">
        <v>0.5</v>
      </c>
    </row>
    <row r="44" spans="2:14" ht="15.5">
      <c r="B44" s="347">
        <f>'Energy Data Entry'!B63</f>
        <v>43344</v>
      </c>
      <c r="C44" s="432">
        <v>2.22</v>
      </c>
      <c r="D44" s="446">
        <v>196.20000000000002</v>
      </c>
      <c r="E44" s="446">
        <v>3.75</v>
      </c>
      <c r="F44" s="406">
        <f t="shared" si="1"/>
        <v>3563.1732600000005</v>
      </c>
      <c r="G44" s="410">
        <v>35</v>
      </c>
      <c r="H44" s="410">
        <v>16</v>
      </c>
      <c r="I44" s="476"/>
      <c r="J44" s="410">
        <v>2.9</v>
      </c>
      <c r="K44" s="410">
        <v>1.1</v>
      </c>
      <c r="L44" s="410">
        <v>10.3</v>
      </c>
      <c r="M44" s="410">
        <v>8.4</v>
      </c>
      <c r="N44" s="414">
        <v>1.2</v>
      </c>
    </row>
    <row r="45" spans="2:14" ht="15.5">
      <c r="B45" s="347">
        <f>'Energy Data Entry'!B64</f>
        <v>43374</v>
      </c>
      <c r="C45" s="432">
        <v>2.06</v>
      </c>
      <c r="D45" s="446">
        <v>190.8</v>
      </c>
      <c r="E45" s="446">
        <v>5.949999999999999</v>
      </c>
      <c r="F45" s="406">
        <f t="shared" si="1"/>
        <v>3175.79694</v>
      </c>
      <c r="G45" s="410">
        <v>38</v>
      </c>
      <c r="H45" s="410">
        <v>17</v>
      </c>
      <c r="I45" s="476"/>
      <c r="J45" s="410">
        <v>3.2</v>
      </c>
      <c r="K45" s="410">
        <v>1.6</v>
      </c>
      <c r="L45" s="410">
        <v>11.6</v>
      </c>
      <c r="M45" s="410">
        <v>7.4</v>
      </c>
      <c r="N45" s="414">
        <v>0.6</v>
      </c>
    </row>
    <row r="46" spans="2:14" ht="15.5">
      <c r="B46" s="347">
        <f>'Energy Data Entry'!B65</f>
        <v>43405</v>
      </c>
      <c r="C46" s="432">
        <v>1.9</v>
      </c>
      <c r="D46" s="446">
        <v>205.20000000000002</v>
      </c>
      <c r="E46" s="446">
        <v>5</v>
      </c>
      <c r="F46" s="406">
        <f t="shared" si="1"/>
        <v>3172.3692</v>
      </c>
      <c r="G46" s="410">
        <v>32</v>
      </c>
      <c r="H46" s="410">
        <v>16</v>
      </c>
      <c r="I46" s="476"/>
      <c r="J46" s="410">
        <v>3.3</v>
      </c>
      <c r="K46" s="410">
        <v>1.1</v>
      </c>
      <c r="L46" s="410">
        <v>8.6</v>
      </c>
      <c r="M46" s="410">
        <v>7.6</v>
      </c>
      <c r="N46" s="414">
        <v>1.2</v>
      </c>
    </row>
    <row r="47" spans="2:14" ht="15.5">
      <c r="B47" s="347">
        <f>'Energy Data Entry'!B66</f>
        <v>43435</v>
      </c>
      <c r="C47" s="432">
        <v>2.5</v>
      </c>
      <c r="D47" s="446">
        <v>214.2</v>
      </c>
      <c r="E47" s="446">
        <v>5.6499999999999995</v>
      </c>
      <c r="F47" s="406">
        <f t="shared" si="1"/>
        <v>4348.2675</v>
      </c>
      <c r="G47" s="410">
        <v>31</v>
      </c>
      <c r="H47" s="410">
        <v>12</v>
      </c>
      <c r="I47" s="476"/>
      <c r="J47" s="410">
        <v>3.3</v>
      </c>
      <c r="K47" s="410">
        <v>1.5</v>
      </c>
      <c r="L47" s="410">
        <v>11.5</v>
      </c>
      <c r="M47" s="410">
        <v>8.7</v>
      </c>
      <c r="N47" s="414">
        <v>1.5</v>
      </c>
    </row>
    <row r="48" spans="2:14" ht="15.5">
      <c r="B48" s="347">
        <f>'Energy Data Entry'!B67</f>
        <v>43466</v>
      </c>
      <c r="C48" s="432">
        <v>1.6</v>
      </c>
      <c r="D48" s="446">
        <v>199.8</v>
      </c>
      <c r="E48" s="446">
        <v>3.9000000000000004</v>
      </c>
      <c r="F48" s="406">
        <f t="shared" si="1"/>
        <v>2614.0896000000002</v>
      </c>
      <c r="G48" s="410">
        <v>37</v>
      </c>
      <c r="H48" s="410">
        <v>16</v>
      </c>
      <c r="I48" s="476"/>
      <c r="J48" s="410">
        <v>3</v>
      </c>
      <c r="K48" s="410">
        <v>0.8</v>
      </c>
      <c r="L48" s="410">
        <v>9.5</v>
      </c>
      <c r="M48" s="410">
        <v>9.5</v>
      </c>
      <c r="N48" s="414">
        <v>0.8</v>
      </c>
    </row>
    <row r="49" spans="2:14" ht="15.5">
      <c r="B49" s="347">
        <f>'Energy Data Entry'!B68</f>
        <v>43497</v>
      </c>
      <c r="C49" s="432">
        <v>1.6400000000000001</v>
      </c>
      <c r="D49" s="446">
        <v>144</v>
      </c>
      <c r="E49" s="446">
        <v>4.4</v>
      </c>
      <c r="F49" s="406">
        <f t="shared" si="1"/>
        <v>1909.3929600000001</v>
      </c>
      <c r="G49" s="410">
        <v>35</v>
      </c>
      <c r="H49" s="410">
        <v>11</v>
      </c>
      <c r="I49" s="476"/>
      <c r="J49" s="410">
        <v>2.7</v>
      </c>
      <c r="K49" s="410">
        <v>1.1</v>
      </c>
      <c r="L49" s="410">
        <v>11.4</v>
      </c>
      <c r="M49" s="410">
        <v>6.8</v>
      </c>
      <c r="N49" s="414">
        <v>1.5</v>
      </c>
    </row>
    <row r="50" spans="2:14" ht="15.5">
      <c r="B50" s="347">
        <f>'Energy Data Entry'!B69</f>
        <v>43525</v>
      </c>
      <c r="C50" s="432">
        <v>2.44</v>
      </c>
      <c r="D50" s="446">
        <v>183.6</v>
      </c>
      <c r="E50" s="446">
        <v>5.1</v>
      </c>
      <c r="F50" s="406">
        <f t="shared" si="1"/>
        <v>3632.4035999999996</v>
      </c>
      <c r="G50" s="410">
        <v>35</v>
      </c>
      <c r="H50" s="410">
        <v>17</v>
      </c>
      <c r="I50" s="476"/>
      <c r="J50" s="410">
        <v>3.1</v>
      </c>
      <c r="K50" s="410">
        <v>1.4</v>
      </c>
      <c r="L50" s="410">
        <v>8.4</v>
      </c>
      <c r="M50" s="410">
        <v>8.2</v>
      </c>
      <c r="N50" s="414">
        <v>1.2</v>
      </c>
    </row>
    <row r="51" spans="2:14" ht="15.5">
      <c r="B51" s="347">
        <f>'Energy Data Entry'!B70</f>
        <v>43556</v>
      </c>
      <c r="C51" s="432">
        <v>1.8</v>
      </c>
      <c r="D51" s="446">
        <v>142.20000000000002</v>
      </c>
      <c r="E51" s="446">
        <v>4</v>
      </c>
      <c r="F51" s="406">
        <f t="shared" si="1"/>
        <v>2074.6584000000003</v>
      </c>
      <c r="G51" s="410">
        <v>38</v>
      </c>
      <c r="H51" s="410">
        <v>14</v>
      </c>
      <c r="I51" s="476"/>
      <c r="J51" s="410">
        <v>3.2</v>
      </c>
      <c r="K51" s="410">
        <v>1.3</v>
      </c>
      <c r="L51" s="410">
        <v>11.1</v>
      </c>
      <c r="M51" s="410">
        <v>8.6</v>
      </c>
      <c r="N51" s="414">
        <v>1.4</v>
      </c>
    </row>
    <row r="52" spans="2:14" ht="15.5">
      <c r="B52" s="347">
        <f>'Energy Data Entry'!B71</f>
        <v>43586</v>
      </c>
      <c r="C52" s="432">
        <v>2.34</v>
      </c>
      <c r="D52" s="446">
        <v>187.20000000000002</v>
      </c>
      <c r="E52" s="446">
        <v>4.8</v>
      </c>
      <c r="F52" s="406">
        <f t="shared" si="1"/>
        <v>3559.64544</v>
      </c>
      <c r="G52" s="410">
        <v>35</v>
      </c>
      <c r="H52" s="410">
        <v>17</v>
      </c>
      <c r="I52" s="476"/>
      <c r="J52" s="410">
        <v>3</v>
      </c>
      <c r="K52" s="410">
        <v>1.3</v>
      </c>
      <c r="L52" s="410">
        <v>11.9</v>
      </c>
      <c r="M52" s="410">
        <v>7</v>
      </c>
      <c r="N52" s="414">
        <v>0.5</v>
      </c>
    </row>
    <row r="53" spans="2:14" ht="16" thickBot="1">
      <c r="B53" s="348">
        <f>'Energy Data Entry'!B72</f>
        <v>43617</v>
      </c>
      <c r="C53" s="433">
        <v>1.72</v>
      </c>
      <c r="D53" s="447">
        <v>169.2</v>
      </c>
      <c r="E53" s="447">
        <v>5.15</v>
      </c>
      <c r="F53" s="407">
        <f t="shared" si="1"/>
        <v>2353.2644399999995</v>
      </c>
      <c r="G53" s="411">
        <v>39</v>
      </c>
      <c r="H53" s="411">
        <v>11</v>
      </c>
      <c r="I53" s="477"/>
      <c r="J53" s="411">
        <v>3.2</v>
      </c>
      <c r="K53" s="411">
        <v>1.1</v>
      </c>
      <c r="L53" s="411">
        <v>8.6</v>
      </c>
      <c r="M53" s="411">
        <v>7.1</v>
      </c>
      <c r="N53" s="415">
        <v>1.2</v>
      </c>
    </row>
    <row r="54" spans="2:14" ht="15.5">
      <c r="B54" s="346">
        <f>'Energy Data Entry'!B73</f>
        <v>43647</v>
      </c>
      <c r="C54" s="431">
        <v>2.36</v>
      </c>
      <c r="D54" s="444">
        <v>140.4</v>
      </c>
      <c r="E54" s="444">
        <v>6</v>
      </c>
      <c r="F54" s="408">
        <f t="shared" si="1"/>
        <v>2645.31456</v>
      </c>
      <c r="G54" s="409">
        <v>40</v>
      </c>
      <c r="H54" s="409">
        <v>14</v>
      </c>
      <c r="I54" s="478"/>
      <c r="J54" s="409">
        <v>3.2</v>
      </c>
      <c r="K54" s="409">
        <v>0.9</v>
      </c>
      <c r="L54" s="409">
        <v>9.3</v>
      </c>
      <c r="M54" s="409">
        <v>9.6</v>
      </c>
      <c r="N54" s="416">
        <v>0.8</v>
      </c>
    </row>
    <row r="55" spans="2:14" ht="15.5">
      <c r="B55" s="347">
        <f>'Energy Data Entry'!B74</f>
        <v>43678</v>
      </c>
      <c r="C55" s="432">
        <v>1.96</v>
      </c>
      <c r="D55" s="446">
        <v>214.2</v>
      </c>
      <c r="E55" s="446">
        <v>5.85</v>
      </c>
      <c r="F55" s="406">
        <f t="shared" si="1"/>
        <v>3405.7724399999997</v>
      </c>
      <c r="G55" s="410">
        <v>38</v>
      </c>
      <c r="H55" s="410">
        <v>11</v>
      </c>
      <c r="I55" s="476"/>
      <c r="J55" s="410">
        <v>2.7</v>
      </c>
      <c r="K55" s="410">
        <v>1.3</v>
      </c>
      <c r="L55" s="410">
        <v>6.6</v>
      </c>
      <c r="M55" s="410">
        <v>8.2</v>
      </c>
      <c r="N55" s="414">
        <v>0.7</v>
      </c>
    </row>
    <row r="56" spans="2:14" ht="15.5">
      <c r="B56" s="347">
        <f>'Energy Data Entry'!B75</f>
        <v>43709</v>
      </c>
      <c r="C56" s="432">
        <v>1.92</v>
      </c>
      <c r="D56" s="446">
        <v>156.6</v>
      </c>
      <c r="E56" s="446">
        <v>5.6000000000000005</v>
      </c>
      <c r="F56" s="406">
        <f t="shared" si="1"/>
        <v>2417.9328</v>
      </c>
      <c r="G56" s="410">
        <v>30</v>
      </c>
      <c r="H56" s="410">
        <v>15</v>
      </c>
      <c r="I56" s="476"/>
      <c r="J56" s="410">
        <v>2.9</v>
      </c>
      <c r="K56" s="410">
        <v>1.2</v>
      </c>
      <c r="L56" s="410">
        <v>7.6</v>
      </c>
      <c r="M56" s="410">
        <v>8.6</v>
      </c>
      <c r="N56" s="414">
        <v>0.6</v>
      </c>
    </row>
    <row r="57" spans="2:14" ht="15.5">
      <c r="B57" s="347">
        <f>'Energy Data Entry'!B76</f>
        <v>43739</v>
      </c>
      <c r="C57" s="432">
        <v>1.96</v>
      </c>
      <c r="D57" s="446">
        <v>212.39999999999998</v>
      </c>
      <c r="E57" s="446">
        <v>5.25</v>
      </c>
      <c r="F57" s="406">
        <f t="shared" si="1"/>
        <v>3386.1567599999994</v>
      </c>
      <c r="G57" s="410">
        <v>37</v>
      </c>
      <c r="H57" s="410">
        <v>13</v>
      </c>
      <c r="I57" s="476"/>
      <c r="J57" s="410">
        <v>3.2</v>
      </c>
      <c r="K57" s="410">
        <v>1.1</v>
      </c>
      <c r="L57" s="410">
        <v>7.8</v>
      </c>
      <c r="M57" s="410">
        <v>7</v>
      </c>
      <c r="N57" s="414">
        <v>1.4</v>
      </c>
    </row>
    <row r="58" spans="2:14" ht="15.5">
      <c r="B58" s="347">
        <f>'Energy Data Entry'!B77</f>
        <v>43770</v>
      </c>
      <c r="C58" s="432">
        <v>2.26</v>
      </c>
      <c r="D58" s="446">
        <v>201.60000000000002</v>
      </c>
      <c r="E58" s="446">
        <v>3.8</v>
      </c>
      <c r="F58" s="406">
        <f t="shared" si="1"/>
        <v>3728.21352</v>
      </c>
      <c r="G58" s="410">
        <v>34</v>
      </c>
      <c r="H58" s="410">
        <v>17</v>
      </c>
      <c r="I58" s="476"/>
      <c r="J58" s="410">
        <v>3.2</v>
      </c>
      <c r="K58" s="410">
        <v>0.8</v>
      </c>
      <c r="L58" s="410">
        <v>7</v>
      </c>
      <c r="M58" s="410">
        <v>7.4</v>
      </c>
      <c r="N58" s="414">
        <v>1.4</v>
      </c>
    </row>
    <row r="59" spans="2:14" ht="15.5">
      <c r="B59" s="347">
        <f>'Energy Data Entry'!B78</f>
        <v>43800</v>
      </c>
      <c r="C59" s="432">
        <v>1.78</v>
      </c>
      <c r="D59" s="446">
        <v>153</v>
      </c>
      <c r="E59" s="446">
        <v>5.4</v>
      </c>
      <c r="F59" s="406">
        <f t="shared" si="1"/>
        <v>2191.15152</v>
      </c>
      <c r="G59" s="410">
        <v>33</v>
      </c>
      <c r="H59" s="410">
        <v>16</v>
      </c>
      <c r="I59" s="476"/>
      <c r="J59" s="410">
        <v>3.2</v>
      </c>
      <c r="K59" s="410">
        <v>1.6</v>
      </c>
      <c r="L59" s="410">
        <v>8.6</v>
      </c>
      <c r="M59" s="410">
        <v>7.5</v>
      </c>
      <c r="N59" s="414">
        <v>1.2</v>
      </c>
    </row>
    <row r="60" spans="2:14" ht="15.5">
      <c r="B60" s="347">
        <f>'Energy Data Entry'!B79</f>
        <v>43831</v>
      </c>
      <c r="C60" s="432">
        <v>2.34</v>
      </c>
      <c r="D60" s="446">
        <v>181.8</v>
      </c>
      <c r="E60" s="446">
        <v>5.6000000000000005</v>
      </c>
      <c r="F60" s="406">
        <f t="shared" si="1"/>
        <v>3438.6487199999997</v>
      </c>
      <c r="G60" s="410">
        <v>37</v>
      </c>
      <c r="H60" s="410">
        <v>15</v>
      </c>
      <c r="I60" s="476"/>
      <c r="J60" s="410">
        <v>3.3</v>
      </c>
      <c r="K60" s="410">
        <v>0.8</v>
      </c>
      <c r="L60" s="410">
        <v>7.8</v>
      </c>
      <c r="M60" s="410">
        <v>6.9</v>
      </c>
      <c r="N60" s="414">
        <v>1.1</v>
      </c>
    </row>
    <row r="61" spans="2:14" ht="15.5">
      <c r="B61" s="347">
        <f>'Energy Data Entry'!B80</f>
        <v>43862</v>
      </c>
      <c r="C61" s="432">
        <v>2.42</v>
      </c>
      <c r="D61" s="446">
        <v>194.4</v>
      </c>
      <c r="E61" s="446">
        <v>5.700000000000001</v>
      </c>
      <c r="F61" s="406">
        <f t="shared" si="1"/>
        <v>3808.4943600000006</v>
      </c>
      <c r="G61" s="410">
        <v>35</v>
      </c>
      <c r="H61" s="410">
        <v>15</v>
      </c>
      <c r="I61" s="476"/>
      <c r="J61" s="410">
        <v>2.8</v>
      </c>
      <c r="K61" s="410">
        <v>1.4</v>
      </c>
      <c r="L61" s="410">
        <v>7.9</v>
      </c>
      <c r="M61" s="410">
        <v>7</v>
      </c>
      <c r="N61" s="414">
        <v>0.6</v>
      </c>
    </row>
    <row r="62" spans="2:14" ht="15.5">
      <c r="B62" s="347">
        <f>'Energy Data Entry'!B81</f>
        <v>43891</v>
      </c>
      <c r="C62" s="432">
        <v>1.92</v>
      </c>
      <c r="D62" s="446">
        <v>198.00000000000003</v>
      </c>
      <c r="E62" s="446">
        <v>4.699999999999999</v>
      </c>
      <c r="F62" s="406">
        <f t="shared" si="1"/>
        <v>3095.2742400000006</v>
      </c>
      <c r="G62" s="410">
        <v>30</v>
      </c>
      <c r="H62" s="410">
        <v>14</v>
      </c>
      <c r="I62" s="476"/>
      <c r="J62" s="410">
        <v>3.2</v>
      </c>
      <c r="K62" s="410">
        <v>1</v>
      </c>
      <c r="L62" s="410">
        <v>7.9</v>
      </c>
      <c r="M62" s="410">
        <v>8</v>
      </c>
      <c r="N62" s="414">
        <v>1.3</v>
      </c>
    </row>
    <row r="63" spans="2:14" ht="15.5">
      <c r="B63" s="347">
        <f>'Energy Data Entry'!B82</f>
        <v>43922</v>
      </c>
      <c r="C63" s="432">
        <v>1.74</v>
      </c>
      <c r="D63" s="446">
        <v>165.6</v>
      </c>
      <c r="E63" s="446">
        <v>4.55</v>
      </c>
      <c r="F63" s="406">
        <f t="shared" si="1"/>
        <v>2337.09318</v>
      </c>
      <c r="G63" s="410">
        <v>33</v>
      </c>
      <c r="H63" s="410">
        <v>18</v>
      </c>
      <c r="I63" s="476"/>
      <c r="J63" s="410">
        <v>2.8</v>
      </c>
      <c r="K63" s="410">
        <v>1</v>
      </c>
      <c r="L63" s="410">
        <v>9</v>
      </c>
      <c r="M63" s="410">
        <v>9.3</v>
      </c>
      <c r="N63" s="414">
        <v>1</v>
      </c>
    </row>
    <row r="64" spans="2:14" ht="15.5">
      <c r="B64" s="347">
        <f>'Energy Data Entry'!B83</f>
        <v>43952</v>
      </c>
      <c r="C64" s="432">
        <v>1.52</v>
      </c>
      <c r="D64" s="446">
        <v>151.2</v>
      </c>
      <c r="E64" s="446">
        <v>4.8</v>
      </c>
      <c r="F64" s="406">
        <f t="shared" si="1"/>
        <v>1855.8835199999996</v>
      </c>
      <c r="G64" s="410">
        <v>38</v>
      </c>
      <c r="H64" s="410">
        <v>12</v>
      </c>
      <c r="I64" s="476"/>
      <c r="J64" s="410">
        <v>2.8</v>
      </c>
      <c r="K64" s="410">
        <v>1</v>
      </c>
      <c r="L64" s="410">
        <v>9.3</v>
      </c>
      <c r="M64" s="410">
        <v>9</v>
      </c>
      <c r="N64" s="414">
        <v>1.5</v>
      </c>
    </row>
    <row r="65" spans="2:14" ht="16" thickBot="1">
      <c r="B65" s="348">
        <f>'Energy Data Entry'!B84</f>
        <v>43983</v>
      </c>
      <c r="C65" s="433">
        <v>2.16</v>
      </c>
      <c r="D65" s="447">
        <v>154.8</v>
      </c>
      <c r="E65" s="447">
        <v>4.6000000000000005</v>
      </c>
      <c r="F65" s="407">
        <f t="shared" si="1"/>
        <v>2705.7628800000007</v>
      </c>
      <c r="G65" s="411">
        <v>33</v>
      </c>
      <c r="H65" s="411">
        <v>18</v>
      </c>
      <c r="I65" s="477"/>
      <c r="J65" s="411">
        <v>2.9</v>
      </c>
      <c r="K65" s="411">
        <v>1</v>
      </c>
      <c r="L65" s="411">
        <v>6.4</v>
      </c>
      <c r="M65" s="411">
        <v>7.4</v>
      </c>
      <c r="N65" s="415">
        <v>1.2</v>
      </c>
    </row>
    <row r="66" spans="2:14" ht="15.5">
      <c r="B66" s="346">
        <f>'Energy Data Entry'!B85</f>
        <v>44013</v>
      </c>
      <c r="C66" s="431">
        <v>1.96</v>
      </c>
      <c r="D66" s="444">
        <v>158.4</v>
      </c>
      <c r="E66" s="444">
        <v>5</v>
      </c>
      <c r="F66" s="408">
        <f t="shared" si="1"/>
        <v>2507.5377599999997</v>
      </c>
      <c r="G66" s="409">
        <v>38</v>
      </c>
      <c r="H66" s="409">
        <v>13</v>
      </c>
      <c r="I66" s="478"/>
      <c r="J66" s="409">
        <v>3.2</v>
      </c>
      <c r="K66" s="409">
        <v>1.6</v>
      </c>
      <c r="L66" s="409">
        <v>7.1</v>
      </c>
      <c r="M66" s="409">
        <v>8.1</v>
      </c>
      <c r="N66" s="416">
        <v>0.9</v>
      </c>
    </row>
    <row r="67" spans="2:14" ht="15.5">
      <c r="B67" s="347">
        <f>'Energy Data Entry'!B86</f>
        <v>44044</v>
      </c>
      <c r="C67" s="432">
        <v>2.36</v>
      </c>
      <c r="D67" s="446">
        <v>178.2</v>
      </c>
      <c r="E67" s="446">
        <v>5.4</v>
      </c>
      <c r="F67" s="406">
        <f t="shared" si="1"/>
        <v>3401.1187199999995</v>
      </c>
      <c r="G67" s="410">
        <v>32</v>
      </c>
      <c r="H67" s="410">
        <v>14</v>
      </c>
      <c r="I67" s="476"/>
      <c r="J67" s="410">
        <v>3.3</v>
      </c>
      <c r="K67" s="410">
        <v>0.9</v>
      </c>
      <c r="L67" s="410">
        <v>8.6</v>
      </c>
      <c r="M67" s="410">
        <v>9.1</v>
      </c>
      <c r="N67" s="414">
        <v>1</v>
      </c>
    </row>
    <row r="68" spans="2:14" ht="15.5">
      <c r="B68" s="347">
        <f>'Energy Data Entry'!B87</f>
        <v>44075</v>
      </c>
      <c r="C68" s="432">
        <v>2.12</v>
      </c>
      <c r="D68" s="446">
        <v>165.6</v>
      </c>
      <c r="E68" s="446">
        <v>4.2</v>
      </c>
      <c r="F68" s="406">
        <f t="shared" si="1"/>
        <v>2853.68112</v>
      </c>
      <c r="G68" s="410">
        <v>37</v>
      </c>
      <c r="H68" s="410">
        <v>14</v>
      </c>
      <c r="I68" s="476"/>
      <c r="J68" s="410">
        <v>3</v>
      </c>
      <c r="K68" s="410">
        <v>1.2</v>
      </c>
      <c r="L68" s="410">
        <v>9.6</v>
      </c>
      <c r="M68" s="410">
        <v>8.3</v>
      </c>
      <c r="N68" s="414">
        <v>1.1</v>
      </c>
    </row>
    <row r="69" spans="2:14" ht="15.5">
      <c r="B69" s="347">
        <f>'Energy Data Entry'!B88</f>
        <v>44105</v>
      </c>
      <c r="C69" s="432">
        <v>1.72</v>
      </c>
      <c r="D69" s="446">
        <v>183.6</v>
      </c>
      <c r="E69" s="446">
        <v>6.05</v>
      </c>
      <c r="F69" s="406">
        <f t="shared" si="1"/>
        <v>2546.9192399999997</v>
      </c>
      <c r="G69" s="410">
        <v>30</v>
      </c>
      <c r="H69" s="410">
        <v>12</v>
      </c>
      <c r="I69" s="476"/>
      <c r="J69" s="410">
        <v>2.7</v>
      </c>
      <c r="K69" s="410">
        <v>1.6</v>
      </c>
      <c r="L69" s="410">
        <v>8.2</v>
      </c>
      <c r="M69" s="410">
        <v>8.6</v>
      </c>
      <c r="N69" s="414">
        <v>0.9</v>
      </c>
    </row>
    <row r="70" spans="2:14" ht="15.5">
      <c r="B70" s="347">
        <f>'Energy Data Entry'!B89</f>
        <v>44136</v>
      </c>
      <c r="C70" s="432">
        <v>1.6400000000000001</v>
      </c>
      <c r="D70" s="446">
        <v>153</v>
      </c>
      <c r="E70" s="446">
        <v>6.05</v>
      </c>
      <c r="F70" s="406">
        <f t="shared" si="1"/>
        <v>2009.9233199999999</v>
      </c>
      <c r="G70" s="410">
        <v>38</v>
      </c>
      <c r="H70" s="410">
        <v>13</v>
      </c>
      <c r="I70" s="476"/>
      <c r="J70" s="410">
        <v>3.3</v>
      </c>
      <c r="K70" s="410">
        <v>1.2</v>
      </c>
      <c r="L70" s="410">
        <v>7.4</v>
      </c>
      <c r="M70" s="410">
        <v>7.8</v>
      </c>
      <c r="N70" s="414">
        <v>1.4</v>
      </c>
    </row>
    <row r="71" spans="2:14" ht="15.5">
      <c r="B71" s="347">
        <f>'Energy Data Entry'!B90</f>
        <v>44166</v>
      </c>
      <c r="C71" s="432">
        <v>2.12</v>
      </c>
      <c r="D71" s="446">
        <v>225</v>
      </c>
      <c r="E71" s="446">
        <v>5.1</v>
      </c>
      <c r="F71" s="406">
        <f t="shared" si="1"/>
        <v>3888.0079200000005</v>
      </c>
      <c r="G71" s="410">
        <v>32</v>
      </c>
      <c r="H71" s="410">
        <v>15</v>
      </c>
      <c r="I71" s="476"/>
      <c r="J71" s="410">
        <v>3.2</v>
      </c>
      <c r="K71" s="410">
        <v>1.5</v>
      </c>
      <c r="L71" s="410">
        <v>9.5</v>
      </c>
      <c r="M71" s="410">
        <v>8.2</v>
      </c>
      <c r="N71" s="414">
        <v>1.4</v>
      </c>
    </row>
    <row r="72" spans="2:14" ht="15.5">
      <c r="B72" s="347">
        <f>'Energy Data Entry'!B91</f>
        <v>44197</v>
      </c>
      <c r="C72" s="432">
        <v>1.78</v>
      </c>
      <c r="D72" s="446">
        <v>153</v>
      </c>
      <c r="E72" s="446">
        <v>4</v>
      </c>
      <c r="F72" s="406">
        <f t="shared" si="1"/>
        <v>2211.9348</v>
      </c>
      <c r="G72" s="410">
        <v>38</v>
      </c>
      <c r="H72" s="410">
        <v>17</v>
      </c>
      <c r="I72" s="476"/>
      <c r="J72" s="410">
        <v>3.2</v>
      </c>
      <c r="K72" s="410">
        <v>1.3</v>
      </c>
      <c r="L72" s="410">
        <v>7.8</v>
      </c>
      <c r="M72" s="410">
        <v>9.4</v>
      </c>
      <c r="N72" s="414">
        <v>0.8</v>
      </c>
    </row>
    <row r="73" spans="2:14" ht="15.5">
      <c r="B73" s="347">
        <f>'Energy Data Entry'!B92</f>
        <v>44228</v>
      </c>
      <c r="C73" s="432">
        <v>2.04</v>
      </c>
      <c r="D73" s="446">
        <v>151.2</v>
      </c>
      <c r="E73" s="446">
        <v>5.3500000000000005</v>
      </c>
      <c r="F73" s="406">
        <f t="shared" si="1"/>
        <v>2481.43356</v>
      </c>
      <c r="G73" s="410">
        <v>32</v>
      </c>
      <c r="H73" s="410">
        <v>16</v>
      </c>
      <c r="I73" s="476"/>
      <c r="J73" s="410">
        <v>2.7</v>
      </c>
      <c r="K73" s="410">
        <v>1.2</v>
      </c>
      <c r="L73" s="410">
        <v>8.8</v>
      </c>
      <c r="M73" s="410">
        <v>9</v>
      </c>
      <c r="N73" s="414">
        <v>1.3</v>
      </c>
    </row>
    <row r="74" spans="2:14" ht="15.5">
      <c r="B74" s="347">
        <f>'Energy Data Entry'!B93</f>
        <v>44256</v>
      </c>
      <c r="C74" s="432">
        <v>1.74</v>
      </c>
      <c r="D74" s="446">
        <v>198.00000000000003</v>
      </c>
      <c r="E74" s="446">
        <v>3.75</v>
      </c>
      <c r="F74" s="406">
        <f t="shared" si="1"/>
        <v>2818.8783000000003</v>
      </c>
      <c r="G74" s="410">
        <v>35</v>
      </c>
      <c r="H74" s="410">
        <v>16</v>
      </c>
      <c r="I74" s="476"/>
      <c r="J74" s="410">
        <v>3.2</v>
      </c>
      <c r="K74" s="410">
        <v>1</v>
      </c>
      <c r="L74" s="410">
        <v>7.8</v>
      </c>
      <c r="M74" s="410">
        <v>7.8</v>
      </c>
      <c r="N74" s="414">
        <v>0.6</v>
      </c>
    </row>
    <row r="75" spans="2:14" ht="15.5">
      <c r="B75" s="347">
        <f>'Energy Data Entry'!B94</f>
        <v>44287</v>
      </c>
      <c r="C75" s="432">
        <v>2.22</v>
      </c>
      <c r="D75" s="446">
        <v>189</v>
      </c>
      <c r="E75" s="446">
        <v>4.85</v>
      </c>
      <c r="F75" s="406">
        <f t="shared" si="1"/>
        <v>3409.5004200000003</v>
      </c>
      <c r="G75" s="410">
        <v>32</v>
      </c>
      <c r="H75" s="410">
        <v>18</v>
      </c>
      <c r="I75" s="476"/>
      <c r="J75" s="410">
        <v>2.9</v>
      </c>
      <c r="K75" s="410">
        <v>1.3</v>
      </c>
      <c r="L75" s="410">
        <v>7.7</v>
      </c>
      <c r="M75" s="410">
        <v>8.2</v>
      </c>
      <c r="N75" s="414">
        <v>1</v>
      </c>
    </row>
    <row r="76" spans="2:14" ht="15.5">
      <c r="B76" s="347">
        <f>'Energy Data Entry'!B95</f>
        <v>44317</v>
      </c>
      <c r="C76" s="432">
        <v>2.36</v>
      </c>
      <c r="D76" s="446">
        <v>169.2</v>
      </c>
      <c r="E76" s="446">
        <v>3.8</v>
      </c>
      <c r="F76" s="406">
        <f t="shared" si="1"/>
        <v>3255.4689599999992</v>
      </c>
      <c r="G76" s="410">
        <v>32</v>
      </c>
      <c r="H76" s="410">
        <v>13</v>
      </c>
      <c r="I76" s="476"/>
      <c r="J76" s="410">
        <v>3</v>
      </c>
      <c r="K76" s="410">
        <v>1.4</v>
      </c>
      <c r="L76" s="410">
        <v>8.6</v>
      </c>
      <c r="M76" s="410">
        <v>8.6</v>
      </c>
      <c r="N76" s="414">
        <v>1.5</v>
      </c>
    </row>
    <row r="77" spans="2:14" ht="16" thickBot="1">
      <c r="B77" s="348">
        <f>'Energy Data Entry'!B96</f>
        <v>44348</v>
      </c>
      <c r="C77" s="433">
        <v>1.84</v>
      </c>
      <c r="D77" s="447">
        <v>153</v>
      </c>
      <c r="E77" s="447">
        <v>5.8999999999999995</v>
      </c>
      <c r="F77" s="407">
        <f t="shared" si="1"/>
        <v>2257.33776</v>
      </c>
      <c r="G77" s="411">
        <v>39</v>
      </c>
      <c r="H77" s="411">
        <v>13</v>
      </c>
      <c r="I77" s="477"/>
      <c r="J77" s="411">
        <v>3.3</v>
      </c>
      <c r="K77" s="411">
        <v>1.3</v>
      </c>
      <c r="L77" s="411">
        <v>8.3</v>
      </c>
      <c r="M77" s="411">
        <v>7.4</v>
      </c>
      <c r="N77" s="415">
        <v>0.7</v>
      </c>
    </row>
    <row r="78" spans="2:14" ht="15.5">
      <c r="B78" s="346">
        <f>'Energy Data Entry'!B97</f>
        <v>44378</v>
      </c>
      <c r="C78" s="431">
        <v>1.7</v>
      </c>
      <c r="D78" s="444">
        <v>162</v>
      </c>
      <c r="E78" s="444">
        <v>6.15</v>
      </c>
      <c r="F78" s="406">
        <f t="shared" si="1"/>
        <v>2209.6413</v>
      </c>
      <c r="G78" s="409">
        <v>40</v>
      </c>
      <c r="H78" s="409">
        <v>11</v>
      </c>
      <c r="I78" s="478"/>
      <c r="J78" s="409">
        <v>3.1</v>
      </c>
      <c r="K78" s="409">
        <v>0.8</v>
      </c>
      <c r="L78" s="409">
        <v>8.9</v>
      </c>
      <c r="M78" s="409">
        <v>8.2</v>
      </c>
      <c r="N78" s="416">
        <v>1.3</v>
      </c>
    </row>
    <row r="79" spans="2:14" ht="15.5">
      <c r="B79" s="347">
        <f>'Energy Data Entry'!B98</f>
        <v>44409</v>
      </c>
      <c r="C79" s="432">
        <v>1.78</v>
      </c>
      <c r="D79" s="446">
        <v>192.60000000000002</v>
      </c>
      <c r="E79" s="446">
        <v>6</v>
      </c>
      <c r="F79" s="406">
        <f t="shared" si="1"/>
        <v>2770.11432</v>
      </c>
      <c r="G79" s="410">
        <v>35</v>
      </c>
      <c r="H79" s="410">
        <v>16</v>
      </c>
      <c r="I79" s="476"/>
      <c r="J79" s="410">
        <v>3</v>
      </c>
      <c r="K79" s="410">
        <v>1</v>
      </c>
      <c r="L79" s="410">
        <v>9.1</v>
      </c>
      <c r="M79" s="410">
        <v>8.3</v>
      </c>
      <c r="N79" s="414">
        <v>1.2</v>
      </c>
    </row>
    <row r="80" spans="2:14" ht="15.5">
      <c r="B80" s="347">
        <f>'Energy Data Entry'!B99</f>
        <v>44440</v>
      </c>
      <c r="C80" s="432">
        <v>1.5</v>
      </c>
      <c r="D80" s="446">
        <v>201.60000000000002</v>
      </c>
      <c r="E80" s="446">
        <v>6</v>
      </c>
      <c r="F80" s="406">
        <f t="shared" si="1"/>
        <v>2446.956</v>
      </c>
      <c r="G80" s="410">
        <v>40</v>
      </c>
      <c r="H80" s="410">
        <v>16</v>
      </c>
      <c r="I80" s="476"/>
      <c r="J80" s="410">
        <v>2.8</v>
      </c>
      <c r="K80" s="410">
        <v>1.2</v>
      </c>
      <c r="L80" s="410">
        <v>7</v>
      </c>
      <c r="M80" s="410">
        <v>9.1</v>
      </c>
      <c r="N80" s="414">
        <v>1.5</v>
      </c>
    </row>
    <row r="81" spans="2:14" ht="15.5">
      <c r="B81" s="347">
        <f>'Energy Data Entry'!B100</f>
        <v>44470</v>
      </c>
      <c r="C81" s="432">
        <v>2.44</v>
      </c>
      <c r="D81" s="446">
        <v>225</v>
      </c>
      <c r="E81" s="446">
        <v>4.95</v>
      </c>
      <c r="F81" s="406">
        <f t="shared" si="1"/>
        <v>4477.92948</v>
      </c>
      <c r="G81" s="410">
        <v>40</v>
      </c>
      <c r="H81" s="410">
        <v>14</v>
      </c>
      <c r="I81" s="476"/>
      <c r="J81" s="410">
        <v>2.9</v>
      </c>
      <c r="K81" s="410">
        <v>1.4</v>
      </c>
      <c r="L81" s="410">
        <v>9.4</v>
      </c>
      <c r="M81" s="410">
        <v>8.2</v>
      </c>
      <c r="N81" s="414">
        <v>0.7</v>
      </c>
    </row>
    <row r="82" spans="2:14" ht="15.5">
      <c r="B82" s="347">
        <f>'Energy Data Entry'!B101</f>
        <v>44501</v>
      </c>
      <c r="C82" s="432">
        <v>1.52</v>
      </c>
      <c r="D82" s="446">
        <v>199.8</v>
      </c>
      <c r="E82" s="446">
        <v>5.2</v>
      </c>
      <c r="F82" s="406">
        <f t="shared" si="1"/>
        <v>2466.9052800000004</v>
      </c>
      <c r="G82" s="410">
        <v>39</v>
      </c>
      <c r="H82" s="410">
        <v>15</v>
      </c>
      <c r="I82" s="476"/>
      <c r="J82" s="410">
        <v>2.8</v>
      </c>
      <c r="K82" s="410">
        <v>1.4</v>
      </c>
      <c r="L82" s="410">
        <v>7.4</v>
      </c>
      <c r="M82" s="410">
        <v>9</v>
      </c>
      <c r="N82" s="414">
        <v>0.6</v>
      </c>
    </row>
    <row r="83" spans="2:14" ht="15.5">
      <c r="B83" s="347">
        <f>'Energy Data Entry'!B102</f>
        <v>44531</v>
      </c>
      <c r="C83" s="432">
        <v>1.84</v>
      </c>
      <c r="D83" s="446">
        <v>190.8</v>
      </c>
      <c r="E83" s="446">
        <v>4.5</v>
      </c>
      <c r="F83" s="406">
        <f aca="true" t="shared" si="2" ref="F83:F89">IF(C83*(D83-E83)*8.34=0,"",C83*(D83-E83)*8.34)</f>
        <v>2858.8852800000004</v>
      </c>
      <c r="G83" s="410">
        <v>38</v>
      </c>
      <c r="H83" s="410">
        <v>15</v>
      </c>
      <c r="I83" s="476"/>
      <c r="J83" s="410">
        <v>2.9</v>
      </c>
      <c r="K83" s="410">
        <v>1.2</v>
      </c>
      <c r="L83" s="410">
        <v>7.1</v>
      </c>
      <c r="M83" s="410">
        <v>7.4</v>
      </c>
      <c r="N83" s="414">
        <v>1.3</v>
      </c>
    </row>
    <row r="84" spans="2:14" ht="15.5">
      <c r="B84" s="347">
        <f>'Energy Data Entry'!B103</f>
        <v>44562</v>
      </c>
      <c r="C84" s="432">
        <v>2.3</v>
      </c>
      <c r="D84" s="446">
        <v>162</v>
      </c>
      <c r="E84" s="446">
        <v>5.1</v>
      </c>
      <c r="F84" s="406">
        <f t="shared" si="2"/>
        <v>3009.6558</v>
      </c>
      <c r="G84" s="410">
        <v>32</v>
      </c>
      <c r="H84" s="410">
        <v>16</v>
      </c>
      <c r="I84" s="476"/>
      <c r="J84" s="410">
        <v>2.8</v>
      </c>
      <c r="K84" s="410">
        <v>1.3</v>
      </c>
      <c r="L84" s="410">
        <v>8.6</v>
      </c>
      <c r="M84" s="410">
        <v>8.8</v>
      </c>
      <c r="N84" s="414">
        <v>0.8</v>
      </c>
    </row>
    <row r="85" spans="2:14" ht="15.5">
      <c r="B85" s="347">
        <f>'Energy Data Entry'!B104</f>
        <v>44593</v>
      </c>
      <c r="C85" s="432">
        <v>2.08</v>
      </c>
      <c r="D85" s="446">
        <v>219.6</v>
      </c>
      <c r="E85" s="446">
        <v>3.75</v>
      </c>
      <c r="F85" s="406">
        <f t="shared" si="2"/>
        <v>3744.39312</v>
      </c>
      <c r="G85" s="410">
        <v>37</v>
      </c>
      <c r="H85" s="410">
        <v>18</v>
      </c>
      <c r="I85" s="476"/>
      <c r="J85" s="410">
        <v>2.8</v>
      </c>
      <c r="K85" s="410">
        <v>1.4</v>
      </c>
      <c r="L85" s="410">
        <v>6.9</v>
      </c>
      <c r="M85" s="410">
        <v>8.6</v>
      </c>
      <c r="N85" s="414">
        <v>1.1</v>
      </c>
    </row>
    <row r="86" spans="2:14" ht="15.5">
      <c r="B86" s="347">
        <f>'Energy Data Entry'!B105</f>
        <v>44621</v>
      </c>
      <c r="C86" s="432">
        <v>2.38</v>
      </c>
      <c r="D86" s="446">
        <v>208.79999999999998</v>
      </c>
      <c r="E86" s="446">
        <v>5.85</v>
      </c>
      <c r="F86" s="406">
        <f t="shared" si="2"/>
        <v>4028.3951399999996</v>
      </c>
      <c r="G86" s="410">
        <v>33</v>
      </c>
      <c r="H86" s="410">
        <v>12</v>
      </c>
      <c r="I86" s="476"/>
      <c r="J86" s="410">
        <v>3.2</v>
      </c>
      <c r="K86" s="410">
        <v>0.8</v>
      </c>
      <c r="L86" s="410">
        <v>9.3</v>
      </c>
      <c r="M86" s="410">
        <v>7.7</v>
      </c>
      <c r="N86" s="414">
        <v>0.8</v>
      </c>
    </row>
    <row r="87" spans="2:14" ht="15.5">
      <c r="B87" s="347">
        <f>'Energy Data Entry'!B106</f>
        <v>44652</v>
      </c>
      <c r="C87" s="432">
        <v>1.6400000000000001</v>
      </c>
      <c r="D87" s="446">
        <v>172.79999999999998</v>
      </c>
      <c r="E87" s="446">
        <v>6.25</v>
      </c>
      <c r="F87" s="406">
        <f t="shared" si="2"/>
        <v>2278.00428</v>
      </c>
      <c r="G87" s="410">
        <v>32</v>
      </c>
      <c r="H87" s="410">
        <v>12</v>
      </c>
      <c r="I87" s="476"/>
      <c r="J87" s="410">
        <v>3.1</v>
      </c>
      <c r="K87" s="410">
        <v>1</v>
      </c>
      <c r="L87" s="410">
        <v>6.6</v>
      </c>
      <c r="M87" s="410">
        <v>8.5</v>
      </c>
      <c r="N87" s="414">
        <v>1.1</v>
      </c>
    </row>
    <row r="88" spans="2:14" ht="15.5">
      <c r="B88" s="347">
        <f>'Energy Data Entry'!B107</f>
        <v>44682</v>
      </c>
      <c r="C88" s="432">
        <v>1.6</v>
      </c>
      <c r="D88" s="446">
        <v>158.4</v>
      </c>
      <c r="E88" s="446">
        <v>5.8999999999999995</v>
      </c>
      <c r="F88" s="406">
        <f t="shared" si="2"/>
        <v>2034.96</v>
      </c>
      <c r="G88" s="410">
        <v>31</v>
      </c>
      <c r="H88" s="410">
        <v>12</v>
      </c>
      <c r="I88" s="476"/>
      <c r="J88" s="410">
        <v>2.9</v>
      </c>
      <c r="K88" s="410">
        <v>1.7</v>
      </c>
      <c r="L88" s="410">
        <v>7.3</v>
      </c>
      <c r="M88" s="410">
        <v>7.2</v>
      </c>
      <c r="N88" s="414">
        <v>0.6</v>
      </c>
    </row>
    <row r="89" spans="2:14" ht="16" thickBot="1">
      <c r="B89" s="348">
        <f>'Energy Data Entry'!B108</f>
        <v>44713</v>
      </c>
      <c r="C89" s="433">
        <v>1.54</v>
      </c>
      <c r="D89" s="447">
        <v>142.20000000000002</v>
      </c>
      <c r="E89" s="447">
        <v>4.3</v>
      </c>
      <c r="F89" s="407">
        <f t="shared" si="2"/>
        <v>1771.13244</v>
      </c>
      <c r="G89" s="411">
        <v>36</v>
      </c>
      <c r="H89" s="411">
        <v>16</v>
      </c>
      <c r="I89" s="477"/>
      <c r="J89" s="411">
        <v>3.1</v>
      </c>
      <c r="K89" s="411">
        <v>1.5</v>
      </c>
      <c r="L89" s="411">
        <v>6.8</v>
      </c>
      <c r="M89" s="411">
        <v>8.1</v>
      </c>
      <c r="N89" s="415">
        <v>0.6</v>
      </c>
    </row>
    <row r="95" ht="15">
      <c r="J95" s="480"/>
    </row>
    <row r="96" ht="15">
      <c r="J96" s="480"/>
    </row>
    <row r="97" ht="15">
      <c r="J97" s="480"/>
    </row>
    <row r="98" ht="15">
      <c r="J98" s="480"/>
    </row>
    <row r="99" ht="15">
      <c r="J99" s="480"/>
    </row>
    <row r="100" ht="15">
      <c r="J100" s="480"/>
    </row>
    <row r="101" ht="15">
      <c r="J101" s="480"/>
    </row>
    <row r="102" ht="15">
      <c r="J102" s="480"/>
    </row>
    <row r="103" ht="15">
      <c r="J103" s="480"/>
    </row>
    <row r="104" ht="15">
      <c r="J104" s="480"/>
    </row>
    <row r="105" ht="15">
      <c r="J105" s="480"/>
    </row>
    <row r="106" ht="15">
      <c r="J106" s="480"/>
    </row>
    <row r="107" ht="15">
      <c r="J107" s="480"/>
    </row>
    <row r="108" ht="15">
      <c r="J108" s="480"/>
    </row>
    <row r="109" ht="15">
      <c r="J109" s="480"/>
    </row>
    <row r="110" ht="15">
      <c r="J110" s="480"/>
    </row>
    <row r="111" ht="15">
      <c r="J111" s="480"/>
    </row>
    <row r="112" ht="15">
      <c r="J112" s="480"/>
    </row>
    <row r="113" ht="15">
      <c r="J113" s="480"/>
    </row>
    <row r="114" ht="15">
      <c r="J114" s="480"/>
    </row>
    <row r="115" ht="15">
      <c r="J115" s="480"/>
    </row>
    <row r="116" ht="15">
      <c r="J116" s="480"/>
    </row>
    <row r="117" ht="15">
      <c r="J117" s="480"/>
    </row>
    <row r="118" ht="15">
      <c r="J118" s="480"/>
    </row>
    <row r="119" ht="15">
      <c r="J119" s="480"/>
    </row>
    <row r="120" ht="15">
      <c r="J120" s="480"/>
    </row>
    <row r="121" ht="15">
      <c r="J121" s="480"/>
    </row>
    <row r="122" ht="15">
      <c r="J122" s="480"/>
    </row>
    <row r="123" ht="15">
      <c r="J123" s="480"/>
    </row>
    <row r="124" ht="15">
      <c r="J124" s="480"/>
    </row>
    <row r="125" ht="15">
      <c r="J125" s="480"/>
    </row>
    <row r="126" ht="15">
      <c r="J126" s="480"/>
    </row>
    <row r="127" ht="15">
      <c r="J127" s="480"/>
    </row>
    <row r="128" ht="15">
      <c r="J128" s="480"/>
    </row>
    <row r="129" ht="15">
      <c r="J129" s="480"/>
    </row>
    <row r="130" ht="15">
      <c r="J130" s="480"/>
    </row>
    <row r="131" ht="15">
      <c r="J131" s="480"/>
    </row>
    <row r="132" ht="15">
      <c r="J132" s="480"/>
    </row>
    <row r="133" ht="15">
      <c r="J133" s="480"/>
    </row>
    <row r="134" ht="15">
      <c r="J134" s="480"/>
    </row>
    <row r="135" ht="15">
      <c r="J135" s="480"/>
    </row>
    <row r="136" ht="15">
      <c r="J136" s="480"/>
    </row>
    <row r="137" ht="15">
      <c r="J137" s="480"/>
    </row>
    <row r="138" ht="15">
      <c r="J138" s="480"/>
    </row>
    <row r="139" ht="15">
      <c r="J139" s="480"/>
    </row>
    <row r="140" ht="15">
      <c r="J140" s="480"/>
    </row>
    <row r="141" ht="15">
      <c r="J141" s="480"/>
    </row>
    <row r="142" ht="15">
      <c r="J142" s="480"/>
    </row>
    <row r="143" ht="15">
      <c r="J143" s="480"/>
    </row>
    <row r="144" ht="15">
      <c r="J144" s="480"/>
    </row>
    <row r="145" ht="15">
      <c r="J145" s="480"/>
    </row>
    <row r="146" ht="15">
      <c r="J146" s="480"/>
    </row>
    <row r="147" ht="15">
      <c r="J147" s="480"/>
    </row>
    <row r="148" ht="15">
      <c r="J148" s="480"/>
    </row>
    <row r="149" ht="15">
      <c r="J149" s="480"/>
    </row>
    <row r="150" ht="15">
      <c r="J150" s="480"/>
    </row>
    <row r="151" ht="15">
      <c r="J151" s="480"/>
    </row>
    <row r="152" ht="15">
      <c r="J152" s="480"/>
    </row>
    <row r="153" ht="15">
      <c r="J153" s="480"/>
    </row>
    <row r="154" ht="15">
      <c r="J154" s="480"/>
    </row>
    <row r="155" ht="15">
      <c r="J155" s="480"/>
    </row>
    <row r="156" ht="15">
      <c r="J156" s="480"/>
    </row>
    <row r="157" ht="15">
      <c r="J157" s="480"/>
    </row>
    <row r="158" ht="15">
      <c r="J158" s="480"/>
    </row>
    <row r="159" ht="15">
      <c r="J159" s="480"/>
    </row>
    <row r="160" ht="15">
      <c r="J160" s="480"/>
    </row>
    <row r="161" ht="15">
      <c r="J161" s="480"/>
    </row>
    <row r="162" ht="15">
      <c r="J162" s="480"/>
    </row>
    <row r="163" ht="15">
      <c r="J163" s="480"/>
    </row>
    <row r="164" ht="15">
      <c r="J164" s="480"/>
    </row>
    <row r="165" ht="15">
      <c r="J165" s="480"/>
    </row>
    <row r="166" ht="15">
      <c r="J166" s="480"/>
    </row>
    <row r="167" ht="15">
      <c r="J167" s="480"/>
    </row>
    <row r="168" ht="15">
      <c r="J168" s="480"/>
    </row>
    <row r="169" ht="15">
      <c r="J169" s="480"/>
    </row>
    <row r="170" ht="15">
      <c r="J170" s="480"/>
    </row>
    <row r="171" ht="15">
      <c r="J171" s="480"/>
    </row>
    <row r="172" ht="15">
      <c r="J172" s="480"/>
    </row>
    <row r="173" ht="15">
      <c r="J173" s="480"/>
    </row>
    <row r="174" ht="15">
      <c r="J174" s="480"/>
    </row>
    <row r="175" ht="15">
      <c r="J175" s="480"/>
    </row>
    <row r="176" ht="15">
      <c r="J176" s="480"/>
    </row>
    <row r="177" ht="15">
      <c r="J177" s="480"/>
    </row>
    <row r="178" ht="15">
      <c r="J178" s="480"/>
    </row>
  </sheetData>
  <dataValidations count="1" xWindow="569" yWindow="451">
    <dataValidation allowBlank="1" showErrorMessage="1" sqref="K6:K89"/>
  </dataValidation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AC44A-0673-4413-B7EA-A8061EA6BE23}">
  <sheetPr codeName="Sheet5"/>
  <dimension ref="A1:K24"/>
  <sheetViews>
    <sheetView showGridLines="0" view="pageLayout" showRuler="0" zoomScale="112" zoomScalePageLayoutView="112" workbookViewId="0" topLeftCell="A4">
      <selection activeCell="E10" sqref="E10"/>
    </sheetView>
  </sheetViews>
  <sheetFormatPr defaultColWidth="9.140625" defaultRowHeight="15"/>
  <cols>
    <col min="1" max="1" width="6.28125" style="0" customWidth="1"/>
    <col min="2" max="2" width="22.57421875" style="77" customWidth="1"/>
    <col min="3" max="3" width="13.28125" style="0" customWidth="1"/>
    <col min="4" max="8" width="13.00390625" style="0" customWidth="1"/>
    <col min="9" max="9" width="14.00390625" style="0" customWidth="1"/>
    <col min="10" max="10" width="5.421875" style="0" customWidth="1"/>
    <col min="11" max="11" width="1.57421875" style="0" customWidth="1"/>
    <col min="13" max="13" width="10.57421875" style="0" customWidth="1"/>
    <col min="14" max="14" width="12.00390625" style="0" customWidth="1"/>
  </cols>
  <sheetData>
    <row r="1" spans="1:11" ht="15" thickBot="1">
      <c r="A1" s="273"/>
      <c r="B1" s="274"/>
      <c r="C1" s="275"/>
      <c r="D1" s="275"/>
      <c r="E1" s="275"/>
      <c r="F1" s="275"/>
      <c r="G1" s="275"/>
      <c r="H1" s="275"/>
      <c r="I1" s="275"/>
      <c r="J1" s="275"/>
      <c r="K1" s="276"/>
    </row>
    <row r="2" spans="1:11" ht="15">
      <c r="A2" s="277"/>
      <c r="B2" s="607" t="s">
        <v>141</v>
      </c>
      <c r="C2" s="608"/>
      <c r="D2" s="608"/>
      <c r="E2" s="608"/>
      <c r="F2" s="608"/>
      <c r="G2" s="608"/>
      <c r="H2" s="608"/>
      <c r="I2" s="609"/>
      <c r="J2" s="278"/>
      <c r="K2" s="279"/>
    </row>
    <row r="3" spans="1:11" ht="46.5" customHeight="1" thickBot="1">
      <c r="A3" s="277"/>
      <c r="B3" s="610"/>
      <c r="C3" s="611"/>
      <c r="D3" s="611"/>
      <c r="E3" s="611"/>
      <c r="F3" s="611"/>
      <c r="G3" s="611"/>
      <c r="H3" s="611"/>
      <c r="I3" s="612"/>
      <c r="J3" s="278"/>
      <c r="K3" s="279"/>
    </row>
    <row r="4" spans="1:11" ht="11.25" customHeight="1" thickBot="1">
      <c r="A4" s="277"/>
      <c r="B4" s="280"/>
      <c r="C4" s="278"/>
      <c r="D4" s="278"/>
      <c r="E4" s="278"/>
      <c r="F4" s="278"/>
      <c r="G4" s="278"/>
      <c r="H4" s="278"/>
      <c r="I4" s="278"/>
      <c r="J4" s="278"/>
      <c r="K4" s="279"/>
    </row>
    <row r="5" spans="1:11" ht="51.75" customHeight="1" thickBot="1">
      <c r="A5" s="277"/>
      <c r="B5" s="280"/>
      <c r="C5" s="250" t="str">
        <f>'Background Calculations'!C147</f>
        <v>Baseline: Jul 2015 - Jun 2017</v>
      </c>
      <c r="D5" s="251" t="str">
        <f ca="1">CONCATENATE('Background Calculations'!C149,'Background Calculations'!H188)</f>
        <v>Jul 2017 - Jun 2018</v>
      </c>
      <c r="E5" s="251" t="str">
        <f ca="1">CONCATENATE('Background Calculations'!C150,'Background Calculations'!H189)</f>
        <v>Jul 2018 - Jun 2019</v>
      </c>
      <c r="F5" s="252" t="str">
        <f ca="1">CONCATENATE('Background Calculations'!C151,'Background Calculations'!H190)</f>
        <v>Jul 2019 - Jun 2020</v>
      </c>
      <c r="G5" s="251" t="str">
        <f ca="1">CONCATENATE('Background Calculations'!C152,'Background Calculations'!H191)</f>
        <v>Jul 2020 - Jun 2021
(to date)</v>
      </c>
      <c r="H5" s="253" t="str">
        <f ca="1">CONCATENATE('Background Calculations'!C153,'Background Calculations'!H192)</f>
        <v>Jul 2021 - Jun 2022</v>
      </c>
      <c r="I5" s="255" t="s">
        <v>138</v>
      </c>
      <c r="J5" s="281"/>
      <c r="K5" s="279"/>
    </row>
    <row r="6" spans="1:11" ht="32.25" customHeight="1">
      <c r="A6" s="277"/>
      <c r="B6" s="256" t="s">
        <v>126</v>
      </c>
      <c r="C6" s="216">
        <f>_xlfn.IFERROR('Background Calculations'!F147,"")</f>
        <v>173165.18333333335</v>
      </c>
      <c r="D6" s="217">
        <f>_xlfn.IFERROR('Background Calculations'!F149,"")</f>
        <v>153067.25</v>
      </c>
      <c r="E6" s="217">
        <f>_xlfn.IFERROR('Background Calculations'!F150,"")</f>
        <v>160175.41666666666</v>
      </c>
      <c r="F6" s="217">
        <f>_xlfn.IFERROR('Background Calculations'!F151,"")</f>
        <v>143669.08333333334</v>
      </c>
      <c r="G6" s="217">
        <f>_xlfn.IFERROR('Background Calculations'!F152,"")</f>
        <v>141379.75</v>
      </c>
      <c r="H6" s="218">
        <f>_xlfn.IFERROR('Background Calculations'!F153,"")</f>
        <v>128026.58333333333</v>
      </c>
      <c r="I6" s="598">
        <f>_xlfn.IFERROR('Background Calculations'!F154,"")</f>
        <v>-0.1611268854949769</v>
      </c>
      <c r="J6" s="597"/>
      <c r="K6" s="279"/>
    </row>
    <row r="7" spans="1:11" ht="15">
      <c r="A7" s="277"/>
      <c r="B7" s="210" t="s">
        <v>133</v>
      </c>
      <c r="C7" s="322" t="s">
        <v>134</v>
      </c>
      <c r="D7" s="219" t="str">
        <f>_xlfn.IFERROR(ROUND((D6/$C$6-1)*100,1)&amp;"%","")</f>
        <v>-11.6%</v>
      </c>
      <c r="E7" s="219" t="str">
        <f>_xlfn.IFERROR(ROUND((E6/$C$6-1)*100,1)&amp;"%","")</f>
        <v>-7.5%</v>
      </c>
      <c r="F7" s="219" t="str">
        <f>_xlfn.IFERROR(ROUND((F6/$C$6-1)*100,1)&amp;"%","")</f>
        <v>-17%</v>
      </c>
      <c r="G7" s="219" t="str">
        <f>_xlfn.IFERROR(ROUND((G6/$C$6-1)*100,1)&amp;"%","")</f>
        <v>-18.4%</v>
      </c>
      <c r="H7" s="220" t="str">
        <f>_xlfn.IFERROR(ROUND((H6/$C$6-1)*100,1)&amp;"%","")</f>
        <v>-26.1%</v>
      </c>
      <c r="I7" s="599"/>
      <c r="J7" s="597"/>
      <c r="K7" s="279"/>
    </row>
    <row r="8" spans="1:11" ht="32.25" customHeight="1">
      <c r="A8" s="277"/>
      <c r="B8" s="257" t="s">
        <v>125</v>
      </c>
      <c r="C8" s="227">
        <f>_xlfn.IFERROR('Background Calculations'!D147,"")</f>
        <v>2.0175</v>
      </c>
      <c r="D8" s="228">
        <f>_xlfn.IFERROR('Background Calculations'!D149,"")</f>
        <v>1.9883333333333333</v>
      </c>
      <c r="E8" s="228">
        <f>_xlfn.IFERROR('Background Calculations'!D150,"")</f>
        <v>2.0366666666666666</v>
      </c>
      <c r="F8" s="228">
        <f>_xlfn.IFERROR('Background Calculations'!D151,"")</f>
        <v>2.0283333333333333</v>
      </c>
      <c r="G8" s="228">
        <f>_xlfn.IFERROR('Background Calculations'!D152,"")</f>
        <v>1.9916666666666665</v>
      </c>
      <c r="H8" s="229">
        <f>_xlfn.IFERROR('Background Calculations'!D153,"")</f>
        <v>1.86</v>
      </c>
      <c r="I8" s="600">
        <f>_xlfn.IFERROR('Background Calculations'!D154,"")</f>
        <v>-0.018091697645601146</v>
      </c>
      <c r="J8" s="597"/>
      <c r="K8" s="279"/>
    </row>
    <row r="9" spans="1:11" ht="15">
      <c r="A9" s="277"/>
      <c r="B9" s="230" t="s">
        <v>133</v>
      </c>
      <c r="C9" s="323" t="s">
        <v>134</v>
      </c>
      <c r="D9" s="231" t="str">
        <f>_xlfn.IFERROR(ROUND((D8/$C$8-1)*100,1)&amp;"%","")</f>
        <v>-1.4%</v>
      </c>
      <c r="E9" s="231" t="str">
        <f>_xlfn.IFERROR(ROUND((E8/$C$8-1)*100,1)&amp;"%","")</f>
        <v>1%</v>
      </c>
      <c r="F9" s="231" t="str">
        <f>_xlfn.IFERROR(ROUND((F8/$C$8-1)*100,1)&amp;"%","")</f>
        <v>0.5%</v>
      </c>
      <c r="G9" s="231" t="str">
        <f>_xlfn.IFERROR(ROUND((G8/$C$8-1)*100,1)&amp;"%","")</f>
        <v>-1.3%</v>
      </c>
      <c r="H9" s="232" t="str">
        <f>_xlfn.IFERROR(ROUND((H8/$C$8-1)*100,1)&amp;"%","")</f>
        <v>-7.8%</v>
      </c>
      <c r="I9" s="601"/>
      <c r="J9" s="597"/>
      <c r="K9" s="279"/>
    </row>
    <row r="10" spans="1:11" ht="32.25" customHeight="1">
      <c r="A10" s="277"/>
      <c r="B10" s="258" t="s">
        <v>144</v>
      </c>
      <c r="C10" s="221">
        <f>_xlfn.IFERROR('Background Calculations'!G147,"")</f>
        <v>2815.007450757268</v>
      </c>
      <c r="D10" s="222">
        <f>_xlfn.IFERROR('Background Calculations'!G149,"")</f>
        <v>2532.96789674003</v>
      </c>
      <c r="E10" s="222">
        <f>_xlfn.IFERROR('Background Calculations'!G150,"")</f>
        <v>2579.729693455736</v>
      </c>
      <c r="F10" s="222">
        <f>_xlfn.IFERROR('Background Calculations'!G151,"")</f>
        <v>2324.6797551306604</v>
      </c>
      <c r="G10" s="222">
        <f>_xlfn.IFERROR('Background Calculations'!G152,"")</f>
        <v>2333.769395840211</v>
      </c>
      <c r="H10" s="223">
        <f>_xlfn.IFERROR('Background Calculations'!G153,"")</f>
        <v>2261.021663625125</v>
      </c>
      <c r="I10" s="602">
        <f>_xlfn.IFERROR('Background Calculations'!G154,"")</f>
        <v>-0.1442951722282314</v>
      </c>
      <c r="J10" s="597"/>
      <c r="K10" s="279"/>
    </row>
    <row r="11" spans="1:11" ht="15">
      <c r="A11" s="277"/>
      <c r="B11" s="210" t="s">
        <v>133</v>
      </c>
      <c r="C11" s="211" t="s">
        <v>134</v>
      </c>
      <c r="D11" s="214" t="str">
        <f>_xlfn.IFERROR(ROUND((D10/$C$10-1)*100,1)&amp;"%","")</f>
        <v>-10%</v>
      </c>
      <c r="E11" s="214" t="str">
        <f>_xlfn.IFERROR(ROUND((E10/$C$10-1)*100,1)&amp;"%","")</f>
        <v>-8.4%</v>
      </c>
      <c r="F11" s="214" t="str">
        <f>_xlfn.IFERROR(ROUND((F10/$C$10-1)*100,1)&amp;"%","")</f>
        <v>-17.4%</v>
      </c>
      <c r="G11" s="214" t="str">
        <f>_xlfn.IFERROR(ROUND((G10/$C$10-1)*100,1)&amp;"%","")</f>
        <v>-17.1%</v>
      </c>
      <c r="H11" s="211" t="str">
        <f>_xlfn.IFERROR(ROUND((H10/$C$10-1)*100,1)&amp;"%","")</f>
        <v>-19.7%</v>
      </c>
      <c r="I11" s="599"/>
      <c r="J11" s="597"/>
      <c r="K11" s="279"/>
    </row>
    <row r="12" spans="1:11" ht="32.25" customHeight="1">
      <c r="A12" s="277"/>
      <c r="B12" s="257" t="s">
        <v>142</v>
      </c>
      <c r="C12" s="233">
        <f>_xlfn.IFERROR('Background Calculations'!H147,"")</f>
        <v>14028.161</v>
      </c>
      <c r="D12" s="234">
        <f>_xlfn.IFERROR('Background Calculations'!H149,"")</f>
        <v>13353.371250000002</v>
      </c>
      <c r="E12" s="234">
        <f>_xlfn.IFERROR('Background Calculations'!H150,"")</f>
        <v>13673.568749999999</v>
      </c>
      <c r="F12" s="234">
        <f>_xlfn.IFERROR('Background Calculations'!H151,"")</f>
        <v>12412.032083333334</v>
      </c>
      <c r="G12" s="234">
        <f>_xlfn.IFERROR('Background Calculations'!H152,"")</f>
        <v>12957.04125</v>
      </c>
      <c r="H12" s="235">
        <f>_xlfn.IFERROR('Background Calculations'!H153,"")</f>
        <v>12519.99375</v>
      </c>
      <c r="I12" s="603">
        <f>_xlfn.IFERROR('Background Calculations'!H154,"")</f>
        <v>-0.07449013333489207</v>
      </c>
      <c r="J12" s="597"/>
      <c r="K12" s="279"/>
    </row>
    <row r="13" spans="1:11" ht="15">
      <c r="A13" s="277"/>
      <c r="B13" s="230" t="s">
        <v>133</v>
      </c>
      <c r="C13" s="236" t="s">
        <v>134</v>
      </c>
      <c r="D13" s="231" t="str">
        <f>_xlfn.IFERROR(ROUND((D12/$C$12-1)*100,1)&amp;"%","")</f>
        <v>-4.8%</v>
      </c>
      <c r="E13" s="231" t="str">
        <f>_xlfn.IFERROR(ROUND((E12/$C$12-1)*100,1)&amp;"%","")</f>
        <v>-2.5%</v>
      </c>
      <c r="F13" s="231" t="str">
        <f>_xlfn.IFERROR(ROUND((F12/$C$12-1)*100,1)&amp;"%","")</f>
        <v>-11.5%</v>
      </c>
      <c r="G13" s="231" t="str">
        <f>_xlfn.IFERROR(ROUND((G12/$C$12-1)*100,1)&amp;"%","")</f>
        <v>-7.6%</v>
      </c>
      <c r="H13" s="236" t="str">
        <f>_xlfn.IFERROR(ROUND((H12/$C$12-1)*100,1)&amp;"%","")</f>
        <v>-10.8%</v>
      </c>
      <c r="I13" s="604"/>
      <c r="J13" s="597"/>
      <c r="K13" s="279"/>
    </row>
    <row r="14" spans="1:11" ht="32.25" customHeight="1">
      <c r="A14" s="277"/>
      <c r="B14" s="259" t="s">
        <v>143</v>
      </c>
      <c r="C14" s="224">
        <f>_xlfn.IFERROR('Background Calculations'!J147,"")</f>
        <v>228.04455823782814</v>
      </c>
      <c r="D14" s="225">
        <f>_xlfn.IFERROR('Background Calculations'!J149,"")</f>
        <v>220.97255088532188</v>
      </c>
      <c r="E14" s="225">
        <f>_xlfn.IFERROR('Background Calculations'!J150,"")</f>
        <v>220.2217547109035</v>
      </c>
      <c r="F14" s="225">
        <f>_xlfn.IFERROR('Background Calculations'!J151,"")</f>
        <v>200.8365267926971</v>
      </c>
      <c r="G14" s="225">
        <f>_xlfn.IFERROR('Background Calculations'!J152,"")</f>
        <v>213.88315037966325</v>
      </c>
      <c r="H14" s="226">
        <f>_xlfn.IFERROR('Background Calculations'!J153,"")</f>
        <v>221.11015040913634</v>
      </c>
      <c r="I14" s="602">
        <f>_xlfn.IFERROR('Background Calculations'!J154,"")</f>
        <v>-0.05592008211750066</v>
      </c>
      <c r="J14" s="597"/>
      <c r="K14" s="279"/>
    </row>
    <row r="15" spans="1:11" ht="15">
      <c r="A15" s="277"/>
      <c r="B15" s="210" t="s">
        <v>133</v>
      </c>
      <c r="C15" s="211" t="s">
        <v>134</v>
      </c>
      <c r="D15" s="214" t="str">
        <f>_xlfn.IFERROR(ROUND((D14/$C$14-1)*100,1)&amp;"%","")</f>
        <v>-3.1%</v>
      </c>
      <c r="E15" s="214" t="str">
        <f>_xlfn.IFERROR(ROUND((E14/$C$14-1)*100,1)&amp;"%","")</f>
        <v>-3.4%</v>
      </c>
      <c r="F15" s="214" t="str">
        <f>_xlfn.IFERROR(ROUND((F14/$C$14-1)*100,1)&amp;"%","")</f>
        <v>-11.9%</v>
      </c>
      <c r="G15" s="214" t="str">
        <f>_xlfn.IFERROR(ROUND((G14/$C$14-1)*100,1)&amp;"%","")</f>
        <v>-6.2%</v>
      </c>
      <c r="H15" s="211" t="str">
        <f>_xlfn.IFERROR(ROUND((H14/$C$14-1)*100,1)&amp;"%","")</f>
        <v>-3%</v>
      </c>
      <c r="I15" s="599"/>
      <c r="J15" s="597"/>
      <c r="K15" s="279"/>
    </row>
    <row r="16" spans="1:11" ht="32.25" customHeight="1">
      <c r="A16" s="277"/>
      <c r="B16" s="257" t="s">
        <v>145</v>
      </c>
      <c r="C16" s="237">
        <f>_xlfn.IFERROR('Background Calculations'!I147,"")</f>
        <v>0.08101028584364196</v>
      </c>
      <c r="D16" s="238">
        <f>_xlfn.IFERROR('Background Calculations'!I149,"")</f>
        <v>0.08723859120745947</v>
      </c>
      <c r="E16" s="238">
        <f>_xlfn.IFERROR('Background Calculations'!I150,"")</f>
        <v>0.08536621308409269</v>
      </c>
      <c r="F16" s="238">
        <f>_xlfn.IFERROR('Background Calculations'!I151,"")</f>
        <v>0.08639320162247852</v>
      </c>
      <c r="G16" s="238">
        <f>_xlfn.IFERROR('Background Calculations'!I152,"")</f>
        <v>0.09164707993895872</v>
      </c>
      <c r="H16" s="239">
        <f>_xlfn.IFERROR('Background Calculations'!I153,"")</f>
        <v>0.09779214147582631</v>
      </c>
      <c r="I16" s="605">
        <f>_xlfn.IFERROR('Background Calculations'!I154,"")</f>
        <v>0.10327754062210559</v>
      </c>
      <c r="J16" s="597"/>
      <c r="K16" s="279"/>
    </row>
    <row r="17" spans="1:11" ht="15">
      <c r="A17" s="277"/>
      <c r="B17" s="230" t="s">
        <v>133</v>
      </c>
      <c r="C17" s="236" t="s">
        <v>134</v>
      </c>
      <c r="D17" s="231" t="str">
        <f>_xlfn.IFERROR(ROUND((D16/$C$16-1)*100,1)&amp;"%","")</f>
        <v>7.7%</v>
      </c>
      <c r="E17" s="231" t="str">
        <f>_xlfn.IFERROR(ROUND((E16/$C$16-1)*100,1)&amp;"%","")</f>
        <v>5.4%</v>
      </c>
      <c r="F17" s="231" t="str">
        <f>_xlfn.IFERROR(ROUND((F16/$C$16-1)*100,1)&amp;"%","")</f>
        <v>6.6%</v>
      </c>
      <c r="G17" s="231" t="str">
        <f>_xlfn.IFERROR(ROUND((G16/$C$16-1)*100,1)&amp;"%","")</f>
        <v>13.1%</v>
      </c>
      <c r="H17" s="236" t="str">
        <f>_xlfn.IFERROR(ROUND((H16/$C$16-1)*100,1)&amp;"%","")</f>
        <v>20.7%</v>
      </c>
      <c r="I17" s="606"/>
      <c r="J17" s="597"/>
      <c r="K17" s="279"/>
    </row>
    <row r="18" spans="1:11" ht="32.25" customHeight="1">
      <c r="A18" s="277"/>
      <c r="B18" s="402" t="str">
        <f>'Background Calculations'!N145</f>
        <v>Avg Billed Electric Demand (kW)</v>
      </c>
      <c r="C18" s="334">
        <f>_xlfn.IFERROR('Background Calculations'!N147,"")</f>
        <v>330.75</v>
      </c>
      <c r="D18" s="335">
        <f>_xlfn.IFERROR('Background Calculations'!N149,"")</f>
        <v>288.5</v>
      </c>
      <c r="E18" s="335">
        <f>_xlfn.IFERROR('Background Calculations'!N150,"")</f>
        <v>283.6666666666667</v>
      </c>
      <c r="F18" s="335">
        <f>_xlfn.IFERROR('Background Calculations'!N151,"")</f>
        <v>260.8333333333333</v>
      </c>
      <c r="G18" s="335">
        <f>_xlfn.IFERROR('Background Calculations'!N152,"")</f>
        <v>248.25</v>
      </c>
      <c r="H18" s="336">
        <f>_xlfn.IFERROR('Background Calculations'!N153,"")</f>
        <v>227.75</v>
      </c>
      <c r="I18" s="595">
        <f>_xlfn.IFERROR('Background Calculations'!N154,"")</f>
        <v>-0.20846560846560847</v>
      </c>
      <c r="J18" s="278"/>
      <c r="K18" s="279"/>
    </row>
    <row r="19" spans="1:11" ht="15" customHeight="1" thickBot="1">
      <c r="A19" s="277"/>
      <c r="B19" s="212" t="s">
        <v>133</v>
      </c>
      <c r="C19" s="400" t="s">
        <v>134</v>
      </c>
      <c r="D19" s="215" t="str">
        <f>_xlfn.IFERROR(ROUND((D18/$C$18-1)*100,1)&amp;"%","")</f>
        <v>-12.8%</v>
      </c>
      <c r="E19" s="215" t="str">
        <f>_xlfn.IFERROR(ROUND((E18/$C$18-1)*100,1)&amp;"%","")</f>
        <v>-14.2%</v>
      </c>
      <c r="F19" s="215" t="str">
        <f>_xlfn.IFERROR(ROUND((F18/$C$18-1)*100,1)&amp;"%","")</f>
        <v>-21.1%</v>
      </c>
      <c r="G19" s="215" t="str">
        <f>_xlfn.IFERROR(ROUND((G18/$C$18-1)*100,1)&amp;"%","")</f>
        <v>-24.9%</v>
      </c>
      <c r="H19" s="213" t="str">
        <f>_xlfn.IFERROR(ROUND((H18/$C$18-1)*100,1)&amp;"%","")</f>
        <v>-31.1%</v>
      </c>
      <c r="I19" s="596"/>
      <c r="J19" s="278"/>
      <c r="K19" s="279"/>
    </row>
    <row r="20" spans="1:11" ht="32.25" customHeight="1" thickBot="1">
      <c r="A20" s="277"/>
      <c r="B20" s="209"/>
      <c r="C20" s="282"/>
      <c r="D20" s="283"/>
      <c r="E20" s="283"/>
      <c r="F20" s="283"/>
      <c r="G20" s="283"/>
      <c r="H20" s="283"/>
      <c r="I20" s="254" t="s">
        <v>139</v>
      </c>
      <c r="J20" s="278"/>
      <c r="K20" s="279"/>
    </row>
    <row r="21" spans="1:11" ht="30" customHeight="1">
      <c r="A21" s="277"/>
      <c r="B21" s="240" t="s">
        <v>211</v>
      </c>
      <c r="C21" s="241" t="s">
        <v>134</v>
      </c>
      <c r="D21" s="242">
        <f>_xlfn.IFERROR('Background Calculations'!K149,"")</f>
        <v>204523.80299114034</v>
      </c>
      <c r="E21" s="242">
        <f>_xlfn.IFERROR('Background Calculations'!K150,"")</f>
        <v>175300.7514102254</v>
      </c>
      <c r="F21" s="242">
        <f>_xlfn.IFERROR('Background Calculations'!K151,"")</f>
        <v>363636.82563060476</v>
      </c>
      <c r="G21" s="242">
        <f>_xlfn.IFERROR('Background Calculations'!K152,"")</f>
        <v>349840.8164025038</v>
      </c>
      <c r="H21" s="243">
        <f>_xlfn.IFERROR('Background Calculations'!K153,"")</f>
        <v>376422.2626405488</v>
      </c>
      <c r="I21" s="244">
        <f>IF(SUM(D21:H21)=0,"",SUM(D21:H21))</f>
        <v>1469724.4590750232</v>
      </c>
      <c r="J21" s="278"/>
      <c r="K21" s="279"/>
    </row>
    <row r="22" spans="1:11" ht="30" customHeight="1" thickBot="1">
      <c r="A22" s="277"/>
      <c r="B22" s="245" t="s">
        <v>212</v>
      </c>
      <c r="C22" s="246" t="s">
        <v>134</v>
      </c>
      <c r="D22" s="247">
        <f>_xlfn.IFERROR('Background Calculations'!O149,"")</f>
        <v>5128.33685174344</v>
      </c>
      <c r="E22" s="247">
        <f>_xlfn.IFERROR('Background Calculations'!O150,"")</f>
        <v>5828.614451841015</v>
      </c>
      <c r="F22" s="247">
        <f>_xlfn.IFERROR('Background Calculations'!O151,"")</f>
        <v>20178.02028033808</v>
      </c>
      <c r="G22" s="247">
        <f>_xlfn.IFERROR('Background Calculations'!O152,"")</f>
        <v>10294.777056571551</v>
      </c>
      <c r="H22" s="248">
        <f>_xlfn.IFERROR('Background Calculations'!O153,"")</f>
        <v>4711.7914314395075</v>
      </c>
      <c r="I22" s="249">
        <f>IF(SUM(D22:H22)=0,"",SUM(D22:H22))</f>
        <v>46141.540071933596</v>
      </c>
      <c r="J22" s="278"/>
      <c r="K22" s="279"/>
    </row>
    <row r="23" spans="1:11" ht="15" thickBot="1">
      <c r="A23" s="284"/>
      <c r="B23" s="285"/>
      <c r="C23" s="286"/>
      <c r="D23" s="286"/>
      <c r="E23" s="286"/>
      <c r="F23" s="286"/>
      <c r="G23" s="286"/>
      <c r="H23" s="286"/>
      <c r="I23" s="286"/>
      <c r="J23" s="286"/>
      <c r="K23" s="287"/>
    </row>
    <row r="24" spans="1:11" ht="15">
      <c r="A24" s="318"/>
      <c r="B24" s="421"/>
      <c r="C24" s="318"/>
      <c r="D24" s="318"/>
      <c r="E24" s="318"/>
      <c r="F24" s="318"/>
      <c r="G24" s="318"/>
      <c r="H24" s="318"/>
      <c r="I24" s="318"/>
      <c r="J24" s="318"/>
      <c r="K24" s="318"/>
    </row>
  </sheetData>
  <mergeCells count="14">
    <mergeCell ref="B2:I3"/>
    <mergeCell ref="J6:J7"/>
    <mergeCell ref="J8:J9"/>
    <mergeCell ref="J10:J11"/>
    <mergeCell ref="J12:J13"/>
    <mergeCell ref="I18:I19"/>
    <mergeCell ref="J14:J15"/>
    <mergeCell ref="J16:J17"/>
    <mergeCell ref="I6:I7"/>
    <mergeCell ref="I8:I9"/>
    <mergeCell ref="I10:I11"/>
    <mergeCell ref="I12:I13"/>
    <mergeCell ref="I14:I15"/>
    <mergeCell ref="I16:I17"/>
  </mergeCells>
  <printOptions/>
  <pageMargins left="0.25" right="0.25" top="0.3854166666666667" bottom="0.3020833333333333"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60747-BBA5-48E3-BA07-2DF07B62139E}">
  <sheetPr codeName="Sheet7"/>
  <dimension ref="A1:L24"/>
  <sheetViews>
    <sheetView showGridLines="0" showRowColHeaders="0" view="pageLayout" showRuler="0" zoomScale="88" zoomScalePageLayoutView="88" workbookViewId="0" topLeftCell="A10">
      <selection activeCell="B22" sqref="B22"/>
    </sheetView>
  </sheetViews>
  <sheetFormatPr defaultColWidth="9.140625" defaultRowHeight="15"/>
  <cols>
    <col min="1" max="1" width="4.7109375" style="0" customWidth="1"/>
    <col min="2" max="2" width="22.57421875" style="77" customWidth="1"/>
    <col min="3" max="3" width="13.28125" style="0" customWidth="1"/>
    <col min="4" max="8" width="13.00390625" style="0" customWidth="1"/>
    <col min="9" max="9" width="14.00390625" style="0" customWidth="1"/>
    <col min="10" max="10" width="5.421875" style="0" customWidth="1"/>
    <col min="11" max="11" width="1.57421875" style="0" customWidth="1"/>
    <col min="13" max="13" width="10.57421875" style="0" customWidth="1"/>
    <col min="14" max="14" width="12.00390625" style="0" customWidth="1"/>
  </cols>
  <sheetData>
    <row r="1" spans="1:11" ht="15" thickBot="1">
      <c r="A1" s="273"/>
      <c r="B1" s="274"/>
      <c r="C1" s="275"/>
      <c r="D1" s="275"/>
      <c r="E1" s="275"/>
      <c r="F1" s="275"/>
      <c r="G1" s="275"/>
      <c r="H1" s="275"/>
      <c r="I1" s="275"/>
      <c r="J1" s="275"/>
      <c r="K1" s="276"/>
    </row>
    <row r="2" spans="1:11" ht="15">
      <c r="A2" s="277"/>
      <c r="B2" s="613" t="s">
        <v>152</v>
      </c>
      <c r="C2" s="614"/>
      <c r="D2" s="614"/>
      <c r="E2" s="614"/>
      <c r="F2" s="614"/>
      <c r="G2" s="614"/>
      <c r="H2" s="614"/>
      <c r="I2" s="615"/>
      <c r="J2" s="278"/>
      <c r="K2" s="279"/>
    </row>
    <row r="3" spans="1:11" ht="46.5" customHeight="1" thickBot="1">
      <c r="A3" s="277"/>
      <c r="B3" s="616"/>
      <c r="C3" s="617"/>
      <c r="D3" s="617"/>
      <c r="E3" s="617"/>
      <c r="F3" s="617"/>
      <c r="G3" s="617"/>
      <c r="H3" s="617"/>
      <c r="I3" s="618"/>
      <c r="J3" s="278"/>
      <c r="K3" s="279"/>
    </row>
    <row r="4" spans="1:11" ht="11.25" customHeight="1" thickBot="1">
      <c r="A4" s="277"/>
      <c r="B4" s="280"/>
      <c r="C4" s="278"/>
      <c r="D4" s="278"/>
      <c r="E4" s="278"/>
      <c r="F4" s="278"/>
      <c r="G4" s="278"/>
      <c r="H4" s="278"/>
      <c r="I4" s="278"/>
      <c r="J4" s="278"/>
      <c r="K4" s="279"/>
    </row>
    <row r="5" spans="1:11" ht="51.75" customHeight="1" thickBot="1">
      <c r="A5" s="277"/>
      <c r="B5" s="280"/>
      <c r="C5" s="250" t="str">
        <f>'Background Calculations'!C147</f>
        <v>Baseline: Jul 2015 - Jun 2017</v>
      </c>
      <c r="D5" s="251" t="str">
        <f ca="1">CONCATENATE('Background Calculations'!C149,'Background Calculations'!H188)</f>
        <v>Jul 2017 - Jun 2018</v>
      </c>
      <c r="E5" s="251" t="str">
        <f ca="1">CONCATENATE('Background Calculations'!C150,'Background Calculations'!H189)</f>
        <v>Jul 2018 - Jun 2019</v>
      </c>
      <c r="F5" s="252" t="str">
        <f ca="1">CONCATENATE('Background Calculations'!C151,'Background Calculations'!H190)</f>
        <v>Jul 2019 - Jun 2020</v>
      </c>
      <c r="G5" s="251" t="str">
        <f ca="1">CONCATENATE('Background Calculations'!C152,'Background Calculations'!H191)</f>
        <v>Jul 2020 - Jun 2021
(to date)</v>
      </c>
      <c r="H5" s="253" t="str">
        <f ca="1">CONCATENATE('Background Calculations'!C153,'Background Calculations'!H192)</f>
        <v>Jul 2021 - Jun 2022</v>
      </c>
      <c r="I5" s="255" t="s">
        <v>138</v>
      </c>
      <c r="J5" s="281"/>
      <c r="K5" s="279"/>
    </row>
    <row r="6" spans="1:11" ht="32.25" customHeight="1">
      <c r="A6" s="277"/>
      <c r="B6" s="256" t="s">
        <v>126</v>
      </c>
      <c r="C6" s="216">
        <f>_xlfn.IFERROR('Background Calculations'!F160,"")</f>
        <v>173165.18333333335</v>
      </c>
      <c r="D6" s="217">
        <f>_xlfn.IFERROR('Background Calculations'!F162,"")</f>
        <v>153067.25</v>
      </c>
      <c r="E6" s="217">
        <f>_xlfn.IFERROR('Background Calculations'!F163,"")</f>
        <v>160175.41666666666</v>
      </c>
      <c r="F6" s="217">
        <f>_xlfn.IFERROR('Background Calculations'!F164,"")</f>
        <v>143669.08333333334</v>
      </c>
      <c r="G6" s="217">
        <f>_xlfn.IFERROR('Background Calculations'!F165,"")</f>
        <v>141379.75</v>
      </c>
      <c r="H6" s="218">
        <f>_xlfn.IFERROR('Background Calculations'!F166,"")</f>
        <v>128026.58333333333</v>
      </c>
      <c r="I6" s="598">
        <f>_xlfn.IFERROR('Background Calculations'!F167,"")</f>
        <v>-0.1611268854949769</v>
      </c>
      <c r="J6" s="597"/>
      <c r="K6" s="279"/>
    </row>
    <row r="7" spans="1:11" ht="15">
      <c r="A7" s="277"/>
      <c r="B7" s="210" t="s">
        <v>133</v>
      </c>
      <c r="C7" s="423" t="s">
        <v>134</v>
      </c>
      <c r="D7" s="214" t="str">
        <f>_xlfn.IFERROR(ROUND((D6/$C$6-1)*100,1)&amp;"%","")</f>
        <v>-11.6%</v>
      </c>
      <c r="E7" s="214" t="str">
        <f>_xlfn.IFERROR(ROUND((E6/$C$6-1)*100,1)&amp;"%","")</f>
        <v>-7.5%</v>
      </c>
      <c r="F7" s="214" t="str">
        <f>_xlfn.IFERROR(ROUND((F6/$C$6-1)*100,1)&amp;"%","")</f>
        <v>-17%</v>
      </c>
      <c r="G7" s="214" t="str">
        <f>_xlfn.IFERROR(ROUND((G6/$C$6-1)*100,1)&amp;"%","")</f>
        <v>-18.4%</v>
      </c>
      <c r="H7" s="214" t="str">
        <f>_xlfn.IFERROR(ROUND((H6/$C$6-1)*100,1)&amp;"%","")</f>
        <v>-26.1%</v>
      </c>
      <c r="I7" s="599"/>
      <c r="J7" s="597"/>
      <c r="K7" s="279"/>
    </row>
    <row r="8" spans="1:11" ht="32.25" customHeight="1">
      <c r="A8" s="277"/>
      <c r="B8" s="257" t="s">
        <v>153</v>
      </c>
      <c r="C8" s="349">
        <f>_xlfn.IFERROR('Background Calculations'!D160,"")</f>
        <v>2848.9766650000006</v>
      </c>
      <c r="D8" s="350">
        <f>_xlfn.IFERROR('Background Calculations'!D162,"")</f>
        <v>2901.34144</v>
      </c>
      <c r="E8" s="350">
        <f>_xlfn.IFERROR('Background Calculations'!D163,"")</f>
        <v>3031.73178</v>
      </c>
      <c r="F8" s="350">
        <f>_xlfn.IFERROR('Background Calculations'!D164,"")</f>
        <v>2917.9748750000003</v>
      </c>
      <c r="G8" s="350">
        <f>_xlfn.IFERROR('Background Calculations'!D165,"")</f>
        <v>2803.47849</v>
      </c>
      <c r="H8" s="351">
        <f>_xlfn.IFERROR('Background Calculations'!D166,"")</f>
        <v>2841.4143700000004</v>
      </c>
      <c r="I8" s="600">
        <f>_xlfn.IFERROR('Background Calculations'!D167,"")</f>
        <v>0.01762440760461592</v>
      </c>
      <c r="J8" s="597"/>
      <c r="K8" s="279"/>
    </row>
    <row r="9" spans="1:11" ht="15">
      <c r="A9" s="277"/>
      <c r="B9" s="230" t="s">
        <v>133</v>
      </c>
      <c r="C9" s="424" t="s">
        <v>134</v>
      </c>
      <c r="D9" s="231" t="str">
        <f>_xlfn.IFERROR(ROUND((D8/$C$8-1)*100,1)&amp;"%","")</f>
        <v>1.8%</v>
      </c>
      <c r="E9" s="231" t="str">
        <f>_xlfn.IFERROR(ROUND((E8/$C$8-1)*100,1)&amp;"%","")</f>
        <v>6.4%</v>
      </c>
      <c r="F9" s="231" t="str">
        <f>_xlfn.IFERROR(ROUND((F8/$C$8-1)*100,1)&amp;"%","")</f>
        <v>2.4%</v>
      </c>
      <c r="G9" s="231" t="str">
        <f>_xlfn.IFERROR(ROUND((G8/$C$8-1)*100,1)&amp;"%","")</f>
        <v>-1.6%</v>
      </c>
      <c r="H9" s="232" t="str">
        <f>_xlfn.IFERROR(ROUND((H8/$C$8-1)*100,1)&amp;"%","")</f>
        <v>-0.3%</v>
      </c>
      <c r="I9" s="601"/>
      <c r="J9" s="597"/>
      <c r="K9" s="279"/>
    </row>
    <row r="10" spans="1:11" ht="32.25" customHeight="1">
      <c r="A10" s="277"/>
      <c r="B10" s="258" t="s">
        <v>154</v>
      </c>
      <c r="C10" s="490">
        <f>_xlfn.IFERROR('Background Calculations'!G160,"")</f>
        <v>1.994587781006055</v>
      </c>
      <c r="D10" s="489">
        <f>_xlfn.IFERROR('Background Calculations'!G162,"")</f>
        <v>1.7367764758608957</v>
      </c>
      <c r="E10" s="489">
        <f>_xlfn.IFERROR('Background Calculations'!G163,"")</f>
        <v>1.7302036524737268</v>
      </c>
      <c r="F10" s="489">
        <f>_xlfn.IFERROR('Background Calculations'!G164,"")</f>
        <v>1.6162559806052788</v>
      </c>
      <c r="G10" s="489">
        <f>_xlfn.IFERROR('Background Calculations'!G165,"")</f>
        <v>1.655307958901705</v>
      </c>
      <c r="H10" s="491">
        <f>_xlfn.IFERROR('Background Calculations'!G166,"")</f>
        <v>1.4817749124737418</v>
      </c>
      <c r="I10" s="602">
        <f>_xlfn.IFERROR('Background Calculations'!G167,"")</f>
        <v>-0.17504226036510728</v>
      </c>
      <c r="J10" s="597"/>
      <c r="K10" s="279"/>
    </row>
    <row r="11" spans="1:11" ht="15">
      <c r="A11" s="277"/>
      <c r="B11" s="210" t="s">
        <v>133</v>
      </c>
      <c r="C11" s="422" t="s">
        <v>134</v>
      </c>
      <c r="D11" s="214" t="str">
        <f>_xlfn.IFERROR(ROUND((D10/$C$10-1)*100,1)&amp;"%","")</f>
        <v>-12.9%</v>
      </c>
      <c r="E11" s="214" t="str">
        <f>_xlfn.IFERROR(ROUND((E10/$C$10-1)*100,1)&amp;"%","")</f>
        <v>-13.3%</v>
      </c>
      <c r="F11" s="214" t="str">
        <f>_xlfn.IFERROR(ROUND((F10/$C$10-1)*100,1)&amp;"%","")</f>
        <v>-19%</v>
      </c>
      <c r="G11" s="214" t="str">
        <f>_xlfn.IFERROR(ROUND((G10/$C$10-1)*100,1)&amp;"%","")</f>
        <v>-17%</v>
      </c>
      <c r="H11" s="211" t="str">
        <f>_xlfn.IFERROR(ROUND((H10/$C$10-1)*100,1)&amp;"%","")</f>
        <v>-25.7%</v>
      </c>
      <c r="I11" s="599"/>
      <c r="J11" s="597"/>
      <c r="K11" s="279"/>
    </row>
    <row r="12" spans="1:11" ht="32.25" customHeight="1">
      <c r="A12" s="277"/>
      <c r="B12" s="257" t="s">
        <v>142</v>
      </c>
      <c r="C12" s="233">
        <f>_xlfn.IFERROR('Background Calculations'!H160,"")</f>
        <v>14028.161</v>
      </c>
      <c r="D12" s="234">
        <f>_xlfn.IFERROR('Background Calculations'!H162,"")</f>
        <v>13353.371250000002</v>
      </c>
      <c r="E12" s="234">
        <f>_xlfn.IFERROR('Background Calculations'!H163,"")</f>
        <v>13673.568749999999</v>
      </c>
      <c r="F12" s="234">
        <f>_xlfn.IFERROR('Background Calculations'!H164,"")</f>
        <v>12412.032083333334</v>
      </c>
      <c r="G12" s="234">
        <f>_xlfn.IFERROR('Background Calculations'!H165,"")</f>
        <v>12957.04125</v>
      </c>
      <c r="H12" s="235">
        <f>_xlfn.IFERROR('Background Calculations'!H166,"")</f>
        <v>12519.99375</v>
      </c>
      <c r="I12" s="603">
        <f>_xlfn.IFERROR('Background Calculations'!H167,"")</f>
        <v>-0.07449013333489207</v>
      </c>
      <c r="J12" s="597"/>
      <c r="K12" s="279"/>
    </row>
    <row r="13" spans="1:11" ht="15">
      <c r="A13" s="277"/>
      <c r="B13" s="230" t="s">
        <v>133</v>
      </c>
      <c r="C13" s="425" t="s">
        <v>134</v>
      </c>
      <c r="D13" s="231" t="str">
        <f>_xlfn.IFERROR(ROUND((D12/$C$12-1)*100,1)&amp;"%","")</f>
        <v>-4.8%</v>
      </c>
      <c r="E13" s="231" t="str">
        <f>_xlfn.IFERROR(ROUND((E12/$C$12-1)*100,1)&amp;"%","")</f>
        <v>-2.5%</v>
      </c>
      <c r="F13" s="231" t="str">
        <f>_xlfn.IFERROR(ROUND((F12/$C$12-1)*100,1)&amp;"%","")</f>
        <v>-11.5%</v>
      </c>
      <c r="G13" s="231" t="str">
        <f>_xlfn.IFERROR(ROUND((G12/$C$12-1)*100,1)&amp;"%","")</f>
        <v>-7.6%</v>
      </c>
      <c r="H13" s="236" t="str">
        <f>_xlfn.IFERROR(ROUND((H12/$C$12-1)*100,1)&amp;"%","")</f>
        <v>-10.8%</v>
      </c>
      <c r="I13" s="604"/>
      <c r="J13" s="597"/>
      <c r="K13" s="279"/>
    </row>
    <row r="14" spans="1:11" ht="32.25" customHeight="1">
      <c r="A14" s="277"/>
      <c r="B14" s="259" t="s">
        <v>155</v>
      </c>
      <c r="C14" s="224">
        <f>_xlfn.IFERROR('Background Calculations'!J160,"")</f>
        <v>0.16158212627953605</v>
      </c>
      <c r="D14" s="225">
        <f>_xlfn.IFERROR('Background Calculations'!J162,"")</f>
        <v>0.1515139329963608</v>
      </c>
      <c r="E14" s="225">
        <f>_xlfn.IFERROR('Background Calculations'!J163,"")</f>
        <v>0.14770093367594764</v>
      </c>
      <c r="F14" s="225">
        <f>_xlfn.IFERROR('Background Calculations'!J164,"")</f>
        <v>0.13963352880596858</v>
      </c>
      <c r="G14" s="225">
        <f>_xlfn.IFERROR('Background Calculations'!J165,"")</f>
        <v>0.15170414083305916</v>
      </c>
      <c r="H14" s="226">
        <f>_xlfn.IFERROR('Background Calculations'!J166,"")</f>
        <v>0.14490594187596229</v>
      </c>
      <c r="I14" s="602">
        <f>_xlfn.IFERROR('Background Calculations'!J167,"")</f>
        <v>-0.08984265389844415</v>
      </c>
      <c r="J14" s="597"/>
      <c r="K14" s="279"/>
    </row>
    <row r="15" spans="1:11" ht="15">
      <c r="A15" s="277"/>
      <c r="B15" s="210" t="s">
        <v>133</v>
      </c>
      <c r="C15" s="422" t="s">
        <v>134</v>
      </c>
      <c r="D15" s="214" t="str">
        <f>_xlfn.IFERROR(ROUND((D14/$C$14-1)*100,1)&amp;"%","")</f>
        <v>-6.2%</v>
      </c>
      <c r="E15" s="214" t="str">
        <f>_xlfn.IFERROR(ROUND((E14/$C$14-1)*100,1)&amp;"%","")</f>
        <v>-8.6%</v>
      </c>
      <c r="F15" s="214" t="str">
        <f>_xlfn.IFERROR(ROUND((F14/$C$14-1)*100,1)&amp;"%","")</f>
        <v>-13.6%</v>
      </c>
      <c r="G15" s="214" t="str">
        <f>_xlfn.IFERROR(ROUND((G14/$C$14-1)*100,1)&amp;"%","")</f>
        <v>-6.1%</v>
      </c>
      <c r="H15" s="211" t="str">
        <f>_xlfn.IFERROR(ROUND((H14/$C$14-1)*100,1)&amp;"%","")</f>
        <v>-10.3%</v>
      </c>
      <c r="I15" s="599"/>
      <c r="J15" s="597"/>
      <c r="K15" s="279"/>
    </row>
    <row r="16" spans="1:11" ht="32.25" customHeight="1">
      <c r="A16" s="277"/>
      <c r="B16" s="257" t="s">
        <v>145</v>
      </c>
      <c r="C16" s="237">
        <f>_xlfn.IFERROR('Background Calculations'!I160,"")</f>
        <v>0.08101028584364196</v>
      </c>
      <c r="D16" s="238">
        <f>_xlfn.IFERROR('Background Calculations'!I162,"")</f>
        <v>0.08723859120745947</v>
      </c>
      <c r="E16" s="238">
        <f>_xlfn.IFERROR('Background Calculations'!I163,"")</f>
        <v>0.08536621308409269</v>
      </c>
      <c r="F16" s="238">
        <f>_xlfn.IFERROR('Background Calculations'!I164,"")</f>
        <v>0.08639320162247852</v>
      </c>
      <c r="G16" s="238">
        <f>_xlfn.IFERROR('Background Calculations'!I165,"")</f>
        <v>0.09164707993895872</v>
      </c>
      <c r="H16" s="239">
        <f>_xlfn.IFERROR('Background Calculations'!I166,"")</f>
        <v>0.09779214147582631</v>
      </c>
      <c r="I16" s="605">
        <f>_xlfn.IFERROR('Background Calculations'!I167,"")</f>
        <v>0.10327754062210559</v>
      </c>
      <c r="J16" s="597"/>
      <c r="K16" s="279"/>
    </row>
    <row r="17" spans="1:11" ht="15">
      <c r="A17" s="277"/>
      <c r="B17" s="230" t="s">
        <v>133</v>
      </c>
      <c r="C17" s="425" t="s">
        <v>134</v>
      </c>
      <c r="D17" s="231" t="str">
        <f>_xlfn.IFERROR(ROUND((D16/$C$16-1)*100,1)&amp;"%","")</f>
        <v>7.7%</v>
      </c>
      <c r="E17" s="231" t="str">
        <f>_xlfn.IFERROR(ROUND((E16/$C$16-1)*100,1)&amp;"%","")</f>
        <v>5.4%</v>
      </c>
      <c r="F17" s="231" t="str">
        <f>_xlfn.IFERROR(ROUND((F16/$C$16-1)*100,1)&amp;"%","")</f>
        <v>6.6%</v>
      </c>
      <c r="G17" s="231" t="str">
        <f>_xlfn.IFERROR(ROUND((G16/$C$16-1)*100,1)&amp;"%","")</f>
        <v>13.1%</v>
      </c>
      <c r="H17" s="236" t="str">
        <f>_xlfn.IFERROR(ROUND((H16/$C$16-1)*100,1)&amp;"%","")</f>
        <v>20.7%</v>
      </c>
      <c r="I17" s="606"/>
      <c r="J17" s="597"/>
      <c r="K17" s="279"/>
    </row>
    <row r="18" spans="1:11" ht="32.25" customHeight="1">
      <c r="A18" s="277"/>
      <c r="B18" s="259" t="s">
        <v>127</v>
      </c>
      <c r="C18" s="221">
        <f>_xlfn.IFERROR('Background Calculations'!N147,"")</f>
        <v>330.75</v>
      </c>
      <c r="D18" s="222">
        <f>_xlfn.IFERROR('Background Calculations'!N149,"")</f>
        <v>288.5</v>
      </c>
      <c r="E18" s="222">
        <f>_xlfn.IFERROR('Background Calculations'!N149,"")</f>
        <v>288.5</v>
      </c>
      <c r="F18" s="222">
        <f>_xlfn.IFERROR('Background Calculations'!N151,"")</f>
        <v>260.8333333333333</v>
      </c>
      <c r="G18" s="222">
        <f>_xlfn.IFERROR('Background Calculations'!N152,"")</f>
        <v>248.25</v>
      </c>
      <c r="H18" s="223">
        <f>_xlfn.IFERROR('Background Calculations'!N153,"")</f>
        <v>227.75</v>
      </c>
      <c r="I18" s="602">
        <f>_xlfn.IFERROR('Background Calculations'!N154,"")</f>
        <v>-0.20846560846560847</v>
      </c>
      <c r="J18" s="278"/>
      <c r="K18" s="279"/>
    </row>
    <row r="19" spans="1:11" ht="15" customHeight="1" thickBot="1">
      <c r="A19" s="277"/>
      <c r="B19" s="212" t="s">
        <v>133</v>
      </c>
      <c r="C19" s="426" t="s">
        <v>134</v>
      </c>
      <c r="D19" s="215" t="str">
        <f>_xlfn.IFERROR(ROUND((D18/$C$18-1)*100,1)&amp;"%","")</f>
        <v>-12.8%</v>
      </c>
      <c r="E19" s="215" t="str">
        <f>_xlfn.IFERROR(ROUND((E18/$C$18-1)*100,1)&amp;"%","")</f>
        <v>-12.8%</v>
      </c>
      <c r="F19" s="215" t="str">
        <f>_xlfn.IFERROR(ROUND((F18/$C$18-1)*100,1)&amp;"%","")</f>
        <v>-21.1%</v>
      </c>
      <c r="G19" s="215" t="str">
        <f>_xlfn.IFERROR(ROUND((G18/$C$18-1)*100,1)&amp;"%","")</f>
        <v>-24.9%</v>
      </c>
      <c r="H19" s="213" t="str">
        <f>_xlfn.IFERROR(ROUND((H18/$C$18-1)*100,1)&amp;"%","")</f>
        <v>-31.1%</v>
      </c>
      <c r="I19" s="619"/>
      <c r="J19" s="278"/>
      <c r="K19" s="279"/>
    </row>
    <row r="20" spans="1:11" ht="32.25" customHeight="1" thickBot="1">
      <c r="A20" s="277"/>
      <c r="B20" s="209"/>
      <c r="C20" s="282"/>
      <c r="D20" s="283"/>
      <c r="E20" s="283"/>
      <c r="F20" s="283"/>
      <c r="G20" s="283"/>
      <c r="H20" s="283"/>
      <c r="I20" s="299" t="s">
        <v>139</v>
      </c>
      <c r="J20" s="278"/>
      <c r="K20" s="279"/>
    </row>
    <row r="21" spans="1:11" ht="30" customHeight="1">
      <c r="A21" s="277"/>
      <c r="B21" s="301" t="s">
        <v>211</v>
      </c>
      <c r="C21" s="302" t="s">
        <v>134</v>
      </c>
      <c r="D21" s="303">
        <f>_xlfn.IFERROR('Background Calculations'!K162,"")</f>
        <v>272660.0783414186</v>
      </c>
      <c r="E21" s="303">
        <f>_xlfn.IFERROR('Background Calculations'!K163,"")</f>
        <v>293707.65380484454</v>
      </c>
      <c r="F21" s="303">
        <f>_xlfn.IFERROR('Background Calculations'!K164,"")</f>
        <v>403559.21545848454</v>
      </c>
      <c r="G21" s="303">
        <f>_xlfn.IFERROR('Background Calculations'!K165,"")</f>
        <v>347734.4225009374</v>
      </c>
      <c r="H21" s="304">
        <f>_xlfn.IFERROR('Background Calculations'!K166,"")</f>
        <v>531689.4939565635</v>
      </c>
      <c r="I21" s="300">
        <f>IF(SUM(D21:H21)=0,"",SUM(D21:H21))</f>
        <v>1849350.8640622487</v>
      </c>
      <c r="J21" s="278"/>
      <c r="K21" s="279"/>
    </row>
    <row r="22" spans="1:11" ht="30" customHeight="1" thickBot="1">
      <c r="A22" s="277"/>
      <c r="B22" s="305" t="s">
        <v>136</v>
      </c>
      <c r="C22" s="306" t="s">
        <v>134</v>
      </c>
      <c r="D22" s="441">
        <f>_xlfn.IFERROR('Background Calculations'!N162,"")</f>
        <v>10648.075994190573</v>
      </c>
      <c r="E22" s="441">
        <f>_xlfn.IFERROR('Background Calculations'!N163,"")</f>
        <v>15420.791460689315</v>
      </c>
      <c r="F22" s="441">
        <f>_xlfn.IFERROR('Background Calculations'!N164,"")</f>
        <v>23412.144491855917</v>
      </c>
      <c r="G22" s="441">
        <f>_xlfn.IFERROR('Background Calculations'!N165,"")</f>
        <v>10124.137484506376</v>
      </c>
      <c r="H22" s="442">
        <f>_xlfn.IFERROR('Background Calculations'!N166,"")</f>
        <v>17290.03422250075</v>
      </c>
      <c r="I22" s="443">
        <f>IF(SUM(D22:H22)=0,"",SUM(D22:H22))</f>
        <v>76895.18365374293</v>
      </c>
      <c r="J22" s="278"/>
      <c r="K22" s="279"/>
    </row>
    <row r="23" spans="1:11" ht="15" thickBot="1">
      <c r="A23" s="284"/>
      <c r="B23" s="285"/>
      <c r="C23" s="286"/>
      <c r="D23" s="286"/>
      <c r="E23" s="286"/>
      <c r="F23" s="286"/>
      <c r="G23" s="286"/>
      <c r="H23" s="286"/>
      <c r="I23" s="286"/>
      <c r="J23" s="286"/>
      <c r="K23" s="287"/>
    </row>
    <row r="24" spans="1:12" ht="15">
      <c r="A24" s="318"/>
      <c r="B24" s="421"/>
      <c r="C24" s="318"/>
      <c r="D24" s="318"/>
      <c r="E24" s="318"/>
      <c r="F24" s="318"/>
      <c r="G24" s="318"/>
      <c r="H24" s="318"/>
      <c r="I24" s="318"/>
      <c r="J24" s="318"/>
      <c r="K24" s="318"/>
      <c r="L24" s="318"/>
    </row>
  </sheetData>
  <mergeCells count="14">
    <mergeCell ref="I18:I19"/>
    <mergeCell ref="I12:I13"/>
    <mergeCell ref="J12:J13"/>
    <mergeCell ref="I14:I15"/>
    <mergeCell ref="J14:J15"/>
    <mergeCell ref="I16:I17"/>
    <mergeCell ref="J16:J17"/>
    <mergeCell ref="I10:I11"/>
    <mergeCell ref="J10:J11"/>
    <mergeCell ref="B2:I3"/>
    <mergeCell ref="I6:I7"/>
    <mergeCell ref="J6:J7"/>
    <mergeCell ref="I8:I9"/>
    <mergeCell ref="J8:J9"/>
  </mergeCells>
  <printOptions/>
  <pageMargins left="0.25" right="0.25" top="0.3854166666666667" bottom="0.3020833333333333"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F2184-C17F-4F9A-80CF-0D408B31739D}">
  <sheetPr codeName="Sheet8"/>
  <dimension ref="A1:K24"/>
  <sheetViews>
    <sheetView showGridLines="0" showRowColHeaders="0" view="pageLayout" showRuler="0" zoomScale="89" zoomScalePageLayoutView="89" workbookViewId="0" topLeftCell="A10">
      <selection activeCell="F11" sqref="F11"/>
    </sheetView>
  </sheetViews>
  <sheetFormatPr defaultColWidth="9.140625" defaultRowHeight="15"/>
  <cols>
    <col min="1" max="1" width="4.7109375" style="0" customWidth="1"/>
    <col min="2" max="2" width="24.57421875" style="77" customWidth="1"/>
    <col min="3" max="3" width="13.28125" style="0" customWidth="1"/>
    <col min="4" max="8" width="13.00390625" style="0" customWidth="1"/>
    <col min="9" max="9" width="20.57421875" style="0" customWidth="1"/>
    <col min="10" max="10" width="0.9921875" style="0" customWidth="1"/>
    <col min="11" max="11" width="3.57421875" style="0" customWidth="1"/>
    <col min="13" max="13" width="10.57421875" style="0" customWidth="1"/>
    <col min="14" max="14" width="12.00390625" style="0" customWidth="1"/>
  </cols>
  <sheetData>
    <row r="1" spans="1:11" ht="15" thickBot="1">
      <c r="A1" s="273"/>
      <c r="B1" s="274"/>
      <c r="C1" s="275"/>
      <c r="D1" s="275"/>
      <c r="E1" s="275"/>
      <c r="F1" s="275"/>
      <c r="G1" s="275"/>
      <c r="H1" s="275"/>
      <c r="I1" s="275"/>
      <c r="J1" s="275"/>
      <c r="K1" s="276"/>
    </row>
    <row r="2" spans="1:11" ht="12" customHeight="1">
      <c r="A2" s="277"/>
      <c r="B2" s="620" t="s">
        <v>156</v>
      </c>
      <c r="C2" s="621"/>
      <c r="D2" s="621"/>
      <c r="E2" s="621"/>
      <c r="F2" s="621"/>
      <c r="G2" s="621"/>
      <c r="H2" s="621"/>
      <c r="I2" s="622"/>
      <c r="J2" s="278"/>
      <c r="K2" s="279"/>
    </row>
    <row r="3" spans="1:11" ht="29.25" customHeight="1" thickBot="1">
      <c r="A3" s="277"/>
      <c r="B3" s="623"/>
      <c r="C3" s="624"/>
      <c r="D3" s="624"/>
      <c r="E3" s="624"/>
      <c r="F3" s="624"/>
      <c r="G3" s="624"/>
      <c r="H3" s="624"/>
      <c r="I3" s="625"/>
      <c r="J3" s="278"/>
      <c r="K3" s="279"/>
    </row>
    <row r="4" spans="1:11" ht="11.25" customHeight="1" thickBot="1">
      <c r="A4" s="277"/>
      <c r="B4" s="280"/>
      <c r="C4" s="278"/>
      <c r="D4" s="278"/>
      <c r="E4" s="278"/>
      <c r="F4" s="278"/>
      <c r="G4" s="278"/>
      <c r="H4" s="278"/>
      <c r="I4" s="278"/>
      <c r="J4" s="278"/>
      <c r="K4" s="279"/>
    </row>
    <row r="5" spans="1:11" ht="51.75" customHeight="1" thickBot="1">
      <c r="A5" s="277"/>
      <c r="B5" s="280"/>
      <c r="C5" s="250" t="str">
        <f>'Background Calculations'!C147</f>
        <v>Baseline: Jul 2015 - Jun 2017</v>
      </c>
      <c r="D5" s="251" t="str">
        <f ca="1">CONCATENATE('Background Calculations'!C149,'Background Calculations'!H188)</f>
        <v>Jul 2017 - Jun 2018</v>
      </c>
      <c r="E5" s="251" t="str">
        <f ca="1">CONCATENATE('Background Calculations'!C150,'Background Calculations'!H189)</f>
        <v>Jul 2018 - Jun 2019</v>
      </c>
      <c r="F5" s="252" t="str">
        <f ca="1">CONCATENATE('Background Calculations'!C151,'Background Calculations'!H190)</f>
        <v>Jul 2019 - Jun 2020</v>
      </c>
      <c r="G5" s="251" t="str">
        <f ca="1">CONCATENATE('Background Calculations'!C152,'Background Calculations'!H191)</f>
        <v>Jul 2020 - Jun 2021
(to date)</v>
      </c>
      <c r="H5" s="253" t="str">
        <f ca="1">CONCATENATE('Background Calculations'!C153,'Background Calculations'!H192)</f>
        <v>Jul 2021 - Jun 2022</v>
      </c>
      <c r="I5" s="255" t="s">
        <v>138</v>
      </c>
      <c r="J5" s="281"/>
      <c r="K5" s="279"/>
    </row>
    <row r="6" spans="1:11" ht="32.25" customHeight="1">
      <c r="A6" s="277"/>
      <c r="B6" s="256" t="s">
        <v>157</v>
      </c>
      <c r="C6" s="324">
        <f>_xlfn.IFERROR('Background Calculations'!D197,"")</f>
        <v>34.25</v>
      </c>
      <c r="D6" s="325">
        <f>_xlfn.IFERROR('Background Calculations'!D199,"")</f>
        <v>35</v>
      </c>
      <c r="E6" s="325">
        <f>_xlfn.IFERROR('Background Calculations'!D200,"")</f>
        <v>35.166666666666664</v>
      </c>
      <c r="F6" s="325">
        <f>_xlfn.IFERROR('Background Calculations'!D201,"")</f>
        <v>34.833333333333336</v>
      </c>
      <c r="G6" s="325">
        <f>_xlfn.IFERROR('Background Calculations'!D202,"")</f>
        <v>34.583333333333336</v>
      </c>
      <c r="H6" s="326">
        <f>_xlfn.IFERROR('Background Calculations'!D203,"")</f>
        <v>36.083333333333336</v>
      </c>
      <c r="I6" s="598">
        <f>_xlfn.IFERROR('Background Calculations'!D204,"")</f>
        <v>0.025790754257907444</v>
      </c>
      <c r="J6" s="597"/>
      <c r="K6" s="279"/>
    </row>
    <row r="7" spans="1:11" ht="15">
      <c r="A7" s="277"/>
      <c r="B7" s="338" t="s">
        <v>133</v>
      </c>
      <c r="C7" s="322" t="s">
        <v>134</v>
      </c>
      <c r="D7" s="219" t="str">
        <f>_xlfn.IFERROR(ROUND((D6/$C$6-1)*100,1)&amp;"%","")</f>
        <v>2.2%</v>
      </c>
      <c r="E7" s="219" t="str">
        <f>_xlfn.IFERROR(ROUND((E6/$C$6-1)*100,1)&amp;"%","")</f>
        <v>2.7%</v>
      </c>
      <c r="F7" s="219" t="str">
        <f>_xlfn.IFERROR(ROUND((F6/$C$6-1)*100,1)&amp;"%","")</f>
        <v>1.7%</v>
      </c>
      <c r="G7" s="219" t="str">
        <f>_xlfn.IFERROR(ROUND((G6/$C$6-1)*100,1)&amp;"%","")</f>
        <v>1%</v>
      </c>
      <c r="H7" s="220" t="str">
        <f>_xlfn.IFERROR(ROUND((H6/$C$6-1)*100,1)&amp;"%","")</f>
        <v>5.4%</v>
      </c>
      <c r="I7" s="599"/>
      <c r="J7" s="597"/>
      <c r="K7" s="279"/>
    </row>
    <row r="8" spans="1:11" ht="32.25" customHeight="1">
      <c r="A8" s="277"/>
      <c r="B8" s="257" t="str">
        <f>_xlfn.IFERROR('Background Calculations'!G196,"Insufficient effluent N data")</f>
        <v>Avg Effluent TKN (mg/L)</v>
      </c>
      <c r="C8" s="327">
        <f>_xlfn.IFERROR('Background Calculations'!G197,"")</f>
        <v>2.975</v>
      </c>
      <c r="D8" s="328">
        <f>_xlfn.IFERROR('Background Calculations'!G199,"")</f>
        <v>2.891666666666666</v>
      </c>
      <c r="E8" s="328">
        <f>_xlfn.IFERROR('Background Calculations'!G200,"")</f>
        <v>3.0916666666666672</v>
      </c>
      <c r="F8" s="328">
        <f>_xlfn.IFERROR('Background Calculations'!G201,"")</f>
        <v>3.016666666666666</v>
      </c>
      <c r="G8" s="328">
        <f>_xlfn.IFERROR('Background Calculations'!G202,"")</f>
        <v>3.0833333333333326</v>
      </c>
      <c r="H8" s="329">
        <f>_xlfn.IFERROR('Background Calculations'!G203,"")</f>
        <v>2.9499999999999997</v>
      </c>
      <c r="I8" s="603">
        <f>_xlfn.IFERROR('Background Calculations'!G204,"")</f>
        <v>0.010644257703081195</v>
      </c>
      <c r="J8" s="597"/>
      <c r="K8" s="279"/>
    </row>
    <row r="9" spans="1:11" ht="15">
      <c r="A9" s="277"/>
      <c r="B9" s="337" t="s">
        <v>133</v>
      </c>
      <c r="C9" s="323" t="s">
        <v>134</v>
      </c>
      <c r="D9" s="231" t="str">
        <f>_xlfn.IFERROR(ROUND((D8/$C$8-1)*100,1)&amp;"%","")</f>
        <v>-2.8%</v>
      </c>
      <c r="E9" s="231" t="str">
        <f>_xlfn.IFERROR(ROUND((E8/$C$8-1)*100,1)&amp;"%","")</f>
        <v>3.9%</v>
      </c>
      <c r="F9" s="231" t="str">
        <f>_xlfn.IFERROR(ROUND((F8/$C$8-1)*100,1)&amp;"%","")</f>
        <v>1.4%</v>
      </c>
      <c r="G9" s="231" t="str">
        <f>_xlfn.IFERROR(ROUND((G8/$C$8-1)*100,1)&amp;"%","")</f>
        <v>3.6%</v>
      </c>
      <c r="H9" s="232" t="str">
        <f>_xlfn.IFERROR(ROUND((H8/$C$8-1)*100,1)&amp;"%","")</f>
        <v>-0.8%</v>
      </c>
      <c r="I9" s="604"/>
      <c r="J9" s="597"/>
      <c r="K9" s="279"/>
    </row>
    <row r="10" spans="1:11" ht="32.25" customHeight="1">
      <c r="A10" s="277"/>
      <c r="B10" s="258" t="s">
        <v>158</v>
      </c>
      <c r="C10" s="307">
        <f>_xlfn.IFERROR('Background Calculations'!H197,"")</f>
        <v>14.925000000000002</v>
      </c>
      <c r="D10" s="330">
        <f>_xlfn.IFERROR('Background Calculations'!H199,"")</f>
        <v>10.25</v>
      </c>
      <c r="E10" s="330">
        <f>_xlfn.IFERROR('Background Calculations'!H200,"")</f>
        <v>10.141666666666667</v>
      </c>
      <c r="F10" s="330">
        <f>_xlfn.IFERROR('Background Calculations'!H201,"")</f>
        <v>7.933333333333334</v>
      </c>
      <c r="G10" s="330">
        <f>_xlfn.IFERROR('Background Calculations'!H202,"")</f>
        <v>8.283333333333333</v>
      </c>
      <c r="H10" s="331">
        <f>_xlfn.IFERROR('Background Calculations'!H203,"")</f>
        <v>7.866666666666666</v>
      </c>
      <c r="I10" s="602">
        <f>_xlfn.IFERROR('Background Calculations'!H204,"")</f>
        <v>-0.4040201005025126</v>
      </c>
      <c r="J10" s="597"/>
      <c r="K10" s="279"/>
    </row>
    <row r="11" spans="1:11" ht="15">
      <c r="A11" s="277"/>
      <c r="B11" s="338" t="s">
        <v>133</v>
      </c>
      <c r="C11" s="211" t="s">
        <v>134</v>
      </c>
      <c r="D11" s="214" t="str">
        <f>_xlfn.IFERROR(ROUND((D10/$C$10-1)*100,1)&amp;"%","")</f>
        <v>-31.3%</v>
      </c>
      <c r="E11" s="214" t="str">
        <f>_xlfn.IFERROR(ROUND((E10/$C$10-1)*100,1)&amp;"%","")</f>
        <v>-32%</v>
      </c>
      <c r="F11" s="214" t="str">
        <f>_xlfn.IFERROR(ROUND((F10/$C$10-1)*100,1)&amp;"%","")</f>
        <v>-46.8%</v>
      </c>
      <c r="G11" s="214" t="str">
        <f>_xlfn.IFERROR(ROUND((G10/$C$10-1)*100,1)&amp;"%","")</f>
        <v>-44.5%</v>
      </c>
      <c r="H11" s="211" t="str">
        <f>_xlfn.IFERROR(ROUND((H10/$C$10-1)*100,1)&amp;"%","")</f>
        <v>-47.3%</v>
      </c>
      <c r="I11" s="599"/>
      <c r="J11" s="597"/>
      <c r="K11" s="279"/>
    </row>
    <row r="12" spans="1:11" ht="32.25" customHeight="1">
      <c r="A12" s="277"/>
      <c r="B12" s="257" t="s">
        <v>187</v>
      </c>
      <c r="C12" s="369">
        <f aca="true" t="shared" si="0" ref="C12:H12">_xlfn.IFERROR((C6-(C8+C10))/C6,"")</f>
        <v>0.4773722627737226</v>
      </c>
      <c r="D12" s="371">
        <f t="shared" si="0"/>
        <v>0.6245238095238096</v>
      </c>
      <c r="E12" s="371">
        <f t="shared" si="0"/>
        <v>0.623696682464455</v>
      </c>
      <c r="F12" s="371">
        <f t="shared" si="0"/>
        <v>0.6856459330143541</v>
      </c>
      <c r="G12" s="371">
        <f t="shared" si="0"/>
        <v>0.6713253012048193</v>
      </c>
      <c r="H12" s="372">
        <f t="shared" si="0"/>
        <v>0.7002309468822171</v>
      </c>
      <c r="I12" s="603">
        <f>_xlfn.IFERROR((AVERAGE(D12:H12)-C12)/C12,"")</f>
        <v>0.38484069178373925</v>
      </c>
      <c r="J12" s="597"/>
      <c r="K12" s="279"/>
    </row>
    <row r="13" spans="1:11" ht="15" customHeight="1">
      <c r="A13" s="277"/>
      <c r="B13" s="337" t="s">
        <v>186</v>
      </c>
      <c r="C13" s="370">
        <f>_xlfn.IFERROR('Background Calculations'!I197,"")</f>
        <v>8391.12698</v>
      </c>
      <c r="D13" s="373">
        <f>_xlfn.IFERROR('Background Calculations'!I199,"")</f>
        <v>11030.14623</v>
      </c>
      <c r="E13" s="373">
        <f>_xlfn.IFERROR('Background Calculations'!I200,"")</f>
        <v>11252.23348</v>
      </c>
      <c r="F13" s="373">
        <f>_xlfn.IFERROR('Background Calculations'!I201,"")</f>
        <v>12380.746679999998</v>
      </c>
      <c r="G13" s="373">
        <f>_xlfn.IFERROR('Background Calculations'!I202,"")</f>
        <v>11621.053300000001</v>
      </c>
      <c r="H13" s="373">
        <f>_xlfn.IFERROR('Background Calculations'!I203,"")</f>
        <v>11821.76374</v>
      </c>
      <c r="I13" s="604"/>
      <c r="J13" s="597"/>
      <c r="K13" s="279"/>
    </row>
    <row r="14" spans="1:11" ht="32.25" customHeight="1">
      <c r="A14" s="277"/>
      <c r="B14" s="259" t="s">
        <v>159</v>
      </c>
      <c r="C14" s="307">
        <f>_xlfn.IFERROR('Background Calculations'!N197,"")</f>
        <v>8.066666666666665</v>
      </c>
      <c r="D14" s="330">
        <f>_xlfn.IFERROR('Background Calculations'!N199,"")</f>
        <v>7.891666666666667</v>
      </c>
      <c r="E14" s="330">
        <f>_xlfn.IFERROR('Background Calculations'!N200,"")</f>
        <v>8.058333333333332</v>
      </c>
      <c r="F14" s="330">
        <f>_xlfn.IFERROR('Background Calculations'!N201,"")</f>
        <v>7.991666666666666</v>
      </c>
      <c r="G14" s="330">
        <f>_xlfn.IFERROR('Background Calculations'!N202,"")</f>
        <v>8.375</v>
      </c>
      <c r="H14" s="331">
        <f>_xlfn.IFERROR('Background Calculations'!N203,"")</f>
        <v>8.258333333333333</v>
      </c>
      <c r="I14" s="602">
        <f>_xlfn.IFERROR('Background Calculations'!N204,"")</f>
        <v>0.005991735537190346</v>
      </c>
      <c r="J14" s="597"/>
      <c r="K14" s="279"/>
    </row>
    <row r="15" spans="1:11" ht="15">
      <c r="A15" s="277"/>
      <c r="B15" s="338" t="s">
        <v>133</v>
      </c>
      <c r="C15" s="211" t="s">
        <v>134</v>
      </c>
      <c r="D15" s="214" t="str">
        <f>_xlfn.IFERROR(ROUND((D14/$C$14-1)*100,1)&amp;"%","")</f>
        <v>-2.2%</v>
      </c>
      <c r="E15" s="214" t="str">
        <f>_xlfn.IFERROR(ROUND((E14/$C$14-1)*100,1)&amp;"%","")</f>
        <v>-0.1%</v>
      </c>
      <c r="F15" s="214" t="str">
        <f>_xlfn.IFERROR(ROUND((F14/$C$14-1)*100,1)&amp;"%","")</f>
        <v>-0.9%</v>
      </c>
      <c r="G15" s="214" t="str">
        <f>_xlfn.IFERROR(ROUND((G14/$C$14-1)*100,1)&amp;"%","")</f>
        <v>3.8%</v>
      </c>
      <c r="H15" s="211" t="str">
        <f>_xlfn.IFERROR(ROUND((H14/$C$14-1)*100,1)&amp;"%","")</f>
        <v>2.4%</v>
      </c>
      <c r="I15" s="599"/>
      <c r="J15" s="597"/>
      <c r="K15" s="279"/>
    </row>
    <row r="16" spans="1:11" ht="32.25" customHeight="1">
      <c r="A16" s="277"/>
      <c r="B16" s="257" t="s">
        <v>160</v>
      </c>
      <c r="C16" s="327">
        <f>_xlfn.IFERROR('Background Calculations'!O197,"")</f>
        <v>1.0166666666666666</v>
      </c>
      <c r="D16" s="328">
        <f>_xlfn.IFERROR('Background Calculations'!O199,"")</f>
        <v>1.1583333333333332</v>
      </c>
      <c r="E16" s="328">
        <f>_xlfn.IFERROR('Background Calculations'!O200,"")</f>
        <v>1.0666666666666667</v>
      </c>
      <c r="F16" s="328">
        <f>_xlfn.IFERROR('Background Calculations'!O201,"")</f>
        <v>1.0666666666666667</v>
      </c>
      <c r="G16" s="328">
        <f>_xlfn.IFERROR('Background Calculations'!O202,"")</f>
        <v>1.0499999999999998</v>
      </c>
      <c r="H16" s="329">
        <f>_xlfn.IFERROR('Background Calculations'!O203,"")</f>
        <v>0.9666666666666667</v>
      </c>
      <c r="I16" s="605">
        <f>_xlfn.IFERROR('Background Calculations'!O204,"")</f>
        <v>0.04426229508196711</v>
      </c>
      <c r="J16" s="626"/>
      <c r="K16" s="279"/>
    </row>
    <row r="17" spans="1:11" ht="15" customHeight="1">
      <c r="A17" s="277"/>
      <c r="B17" s="337" t="s">
        <v>133</v>
      </c>
      <c r="C17" s="236" t="s">
        <v>134</v>
      </c>
      <c r="D17" s="231" t="str">
        <f>_xlfn.IFERROR(ROUND((D16/$C$16-1)*100,1)&amp;"%","")</f>
        <v>13.9%</v>
      </c>
      <c r="E17" s="231" t="str">
        <f>_xlfn.IFERROR(ROUND((E16/$C$16-1)*100,1)&amp;"%","")</f>
        <v>4.9%</v>
      </c>
      <c r="F17" s="231" t="str">
        <f>_xlfn.IFERROR(ROUND((F16/$C$16-1)*100,1)&amp;"%","")</f>
        <v>4.9%</v>
      </c>
      <c r="G17" s="231" t="str">
        <f>_xlfn.IFERROR(ROUND((G16/$C$16-1)*100,1)&amp;"%","")</f>
        <v>3.3%</v>
      </c>
      <c r="H17" s="236" t="str">
        <f>_xlfn.IFERROR(ROUND((H16/$C$16-1)*100,1)&amp;"%","")</f>
        <v>-4.9%</v>
      </c>
      <c r="I17" s="606"/>
      <c r="J17" s="626"/>
      <c r="K17" s="279"/>
    </row>
    <row r="18" spans="1:11" ht="32.25" customHeight="1">
      <c r="A18" s="277"/>
      <c r="B18" s="259" t="s">
        <v>195</v>
      </c>
      <c r="C18" s="374">
        <f aca="true" t="shared" si="1" ref="C18:H18">_xlfn.IFERROR((C14-C16)/C14,"")</f>
        <v>0.8739669421487604</v>
      </c>
      <c r="D18" s="376">
        <f t="shared" si="1"/>
        <v>0.853220696937698</v>
      </c>
      <c r="E18" s="376">
        <f t="shared" si="1"/>
        <v>0.8676318510858325</v>
      </c>
      <c r="F18" s="376">
        <f t="shared" si="1"/>
        <v>0.8665276329509907</v>
      </c>
      <c r="G18" s="376">
        <f t="shared" si="1"/>
        <v>0.8746268656716418</v>
      </c>
      <c r="H18" s="376">
        <f t="shared" si="1"/>
        <v>0.8829465186680121</v>
      </c>
      <c r="I18" s="602">
        <f>_xlfn.IFERROR(AVERAGE(D18:H18)/C18-1,"")</f>
        <v>-0.005693841318174631</v>
      </c>
      <c r="J18" s="278"/>
      <c r="K18" s="279"/>
    </row>
    <row r="19" spans="1:11" ht="15" customHeight="1" thickBot="1">
      <c r="A19" s="277"/>
      <c r="B19" s="440" t="s">
        <v>196</v>
      </c>
      <c r="C19" s="377">
        <f>_xlfn.IFERROR('Background Calculations'!P197,"")</f>
        <v>3610.0197350000003</v>
      </c>
      <c r="D19" s="375">
        <f>_xlfn.IFERROR('Background Calculations'!P199,"")</f>
        <v>3384.19269</v>
      </c>
      <c r="E19" s="375">
        <f>_xlfn.IFERROR('Background Calculations'!P200,"")</f>
        <v>3635.49357</v>
      </c>
      <c r="F19" s="375">
        <f>_xlfn.IFERROR('Background Calculations'!P201,"")</f>
        <v>3552.89977</v>
      </c>
      <c r="G19" s="375">
        <f>_xlfn.IFERROR('Background Calculations'!P202,"")</f>
        <v>3705.6454800000006</v>
      </c>
      <c r="H19" s="375">
        <f>_xlfn.IFERROR('Background Calculations'!P203,"")</f>
        <v>3440.190229999999</v>
      </c>
      <c r="I19" s="599"/>
      <c r="J19" s="278"/>
      <c r="K19" s="279"/>
    </row>
    <row r="20" spans="1:11" ht="30" customHeight="1" thickBot="1">
      <c r="A20" s="277"/>
      <c r="B20" s="209"/>
      <c r="C20" s="282"/>
      <c r="D20" s="283"/>
      <c r="E20" s="283"/>
      <c r="F20" s="283"/>
      <c r="G20" s="283"/>
      <c r="H20" s="283"/>
      <c r="I20" s="312" t="s">
        <v>183</v>
      </c>
      <c r="J20" s="278"/>
      <c r="K20" s="279"/>
    </row>
    <row r="21" spans="1:11" ht="30" customHeight="1">
      <c r="A21" s="277"/>
      <c r="B21" s="314" t="s">
        <v>181</v>
      </c>
      <c r="C21" s="315" t="s">
        <v>134</v>
      </c>
      <c r="D21" s="365">
        <f>_xlfn.IFERROR(D12/C12-1,"")</f>
        <v>0.30825324013397437</v>
      </c>
      <c r="E21" s="365">
        <f>_xlfn.IFERROR(E12/C12-1,"")</f>
        <v>0.3065205733582621</v>
      </c>
      <c r="F21" s="365">
        <f>_xlfn.IFERROR(F12/C12-1,"")</f>
        <v>0.4362919391890905</v>
      </c>
      <c r="G21" s="365">
        <f>_xlfn.IFERROR(G12/C12-1,"")</f>
        <v>0.40629306215688454</v>
      </c>
      <c r="H21" s="378">
        <f>_xlfn.IFERROR(H12/C12-1,"")</f>
        <v>0.4668446440804854</v>
      </c>
      <c r="I21" s="313">
        <f>'Background Calculations'!K204</f>
        <v>194232.60144992708</v>
      </c>
      <c r="J21" s="278"/>
      <c r="K21" s="279"/>
    </row>
    <row r="22" spans="1:11" ht="30" customHeight="1" thickBot="1">
      <c r="A22" s="277"/>
      <c r="B22" s="316" t="s">
        <v>182</v>
      </c>
      <c r="C22" s="317" t="s">
        <v>134</v>
      </c>
      <c r="D22" s="366">
        <f>_xlfn.IFERROR(D18/C18-1,"")</f>
        <v>-0.023738020525187253</v>
      </c>
      <c r="E22" s="366">
        <f>_xlfn.IFERROR(E18/C18-1,"")</f>
        <v>-0.007248662114555771</v>
      </c>
      <c r="F22" s="366">
        <f>_xlfn.IFERROR(F18/C18-1,"")</f>
        <v>-0.008512117379953943</v>
      </c>
      <c r="G22" s="366">
        <f>_xlfn.IFERROR(G18/C18-1,"")</f>
        <v>0.0007550897992307792</v>
      </c>
      <c r="H22" s="379">
        <f>_xlfn.IFERROR(H18/C18-1,"")</f>
        <v>0.010274503629593035</v>
      </c>
      <c r="I22" s="368">
        <f>'Background Calculations'!Q204</f>
        <v>-1221.3688731611587</v>
      </c>
      <c r="J22" s="278"/>
      <c r="K22" s="279"/>
    </row>
    <row r="23" spans="1:11" ht="29.25" customHeight="1" thickBot="1">
      <c r="A23" s="284"/>
      <c r="B23" s="285"/>
      <c r="C23" s="286"/>
      <c r="D23" s="286"/>
      <c r="E23" s="286"/>
      <c r="F23" s="286"/>
      <c r="G23" s="286"/>
      <c r="H23" s="286"/>
      <c r="I23" s="286"/>
      <c r="J23" s="286"/>
      <c r="K23" s="287"/>
    </row>
    <row r="24" spans="1:11" ht="15">
      <c r="A24" s="318"/>
      <c r="B24" s="421"/>
      <c r="C24" s="318"/>
      <c r="D24" s="318"/>
      <c r="E24" s="318"/>
      <c r="F24" s="318"/>
      <c r="G24" s="318"/>
      <c r="H24" s="318"/>
      <c r="I24" s="318"/>
      <c r="J24" s="318"/>
      <c r="K24" s="318"/>
    </row>
  </sheetData>
  <sheetProtection sheet="1" objects="1" scenarios="1"/>
  <mergeCells count="14">
    <mergeCell ref="I18:I19"/>
    <mergeCell ref="I10:I11"/>
    <mergeCell ref="J10:J11"/>
    <mergeCell ref="B2:I3"/>
    <mergeCell ref="I6:I7"/>
    <mergeCell ref="J6:J7"/>
    <mergeCell ref="I8:I9"/>
    <mergeCell ref="J8:J9"/>
    <mergeCell ref="J16:J17"/>
    <mergeCell ref="I16:I17"/>
    <mergeCell ref="J12:J13"/>
    <mergeCell ref="I14:I15"/>
    <mergeCell ref="J14:J15"/>
    <mergeCell ref="I12:I13"/>
  </mergeCells>
  <printOptions/>
  <pageMargins left="0.25" right="0.25" top="0.3854166666666667" bottom="0.3020833333333333"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E51FB-38AA-4259-B7BD-2BA358E35362}">
  <sheetPr codeName="Sheet14"/>
  <dimension ref="A1:A1"/>
  <sheetViews>
    <sheetView workbookViewId="0" topLeftCell="A1"/>
  </sheetViews>
  <sheetFormatPr defaultColWidth="9.140625" defaultRowHeight="15"/>
  <sheetData/>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922D6-74F6-460B-B55F-5047A00583BD}">
  <sheetPr codeName="Sheet3"/>
  <dimension ref="A3:AH207"/>
  <sheetViews>
    <sheetView zoomScale="59" zoomScaleNormal="59" workbookViewId="0" topLeftCell="A1">
      <pane ySplit="3" topLeftCell="A4" activePane="bottomLeft" state="frozen"/>
      <selection pane="bottomLeft" activeCell="K13" sqref="K13"/>
    </sheetView>
  </sheetViews>
  <sheetFormatPr defaultColWidth="9.140625" defaultRowHeight="15"/>
  <cols>
    <col min="1" max="1" width="11.00390625" style="77" customWidth="1"/>
    <col min="2" max="2" width="11.00390625" style="0" customWidth="1"/>
    <col min="3" max="3" width="17.140625" style="0" customWidth="1"/>
    <col min="4" max="4" width="11.57421875" style="0" customWidth="1"/>
    <col min="5" max="5" width="11.140625" style="0" customWidth="1"/>
    <col min="6" max="6" width="10.00390625" style="0" customWidth="1"/>
    <col min="7" max="7" width="12.00390625" style="0" customWidth="1"/>
    <col min="8" max="8" width="11.8515625" style="0" customWidth="1"/>
    <col min="9" max="9" width="12.7109375" style="0" customWidth="1"/>
    <col min="10" max="11" width="11.57421875" style="0" customWidth="1"/>
    <col min="12" max="13" width="11.57421875" style="189" customWidth="1"/>
    <col min="14" max="14" width="15.28125" style="0" customWidth="1"/>
    <col min="15" max="15" width="15.57421875" style="0" customWidth="1"/>
    <col min="16" max="17" width="12.00390625" style="0" customWidth="1"/>
    <col min="18" max="18" width="14.140625" style="0" customWidth="1"/>
    <col min="19" max="19" width="11.8515625" style="108" customWidth="1"/>
    <col min="20" max="20" width="4.140625" style="0" customWidth="1"/>
    <col min="21" max="21" width="15.8515625" style="0" customWidth="1"/>
    <col min="22" max="22" width="14.28125" style="114" customWidth="1"/>
    <col min="23" max="23" width="11.421875" style="0" customWidth="1"/>
    <col min="24" max="24" width="12.140625" style="0" customWidth="1"/>
    <col min="25" max="26" width="11.00390625" style="0" customWidth="1"/>
    <col min="27" max="27" width="9.8515625" style="0" customWidth="1"/>
    <col min="28" max="28" width="11.7109375" style="0" customWidth="1"/>
    <col min="29" max="30" width="10.7109375" style="0" customWidth="1"/>
    <col min="31" max="31" width="12.421875" style="0" customWidth="1"/>
    <col min="32" max="32" width="11.421875" style="0" customWidth="1"/>
    <col min="33" max="33" width="12.8515625" style="0" customWidth="1"/>
    <col min="34" max="34" width="11.57421875" style="0" bestFit="1" customWidth="1"/>
  </cols>
  <sheetData>
    <row r="2" ht="9.75" customHeight="1"/>
    <row r="3" spans="1:34" s="53" customFormat="1" ht="49.5" customHeight="1">
      <c r="A3" s="53" t="s">
        <v>59</v>
      </c>
      <c r="B3" s="53" t="s">
        <v>54</v>
      </c>
      <c r="C3" s="53" t="s">
        <v>44</v>
      </c>
      <c r="D3" s="53" t="s">
        <v>45</v>
      </c>
      <c r="E3" s="53" t="s">
        <v>48</v>
      </c>
      <c r="F3" s="53" t="s">
        <v>89</v>
      </c>
      <c r="G3" s="53" t="s">
        <v>63</v>
      </c>
      <c r="H3" s="53" t="s">
        <v>64</v>
      </c>
      <c r="I3" s="53" t="s">
        <v>91</v>
      </c>
      <c r="J3" s="53" t="s">
        <v>50</v>
      </c>
      <c r="K3" s="53" t="s">
        <v>52</v>
      </c>
      <c r="L3" s="380" t="s">
        <v>188</v>
      </c>
      <c r="M3" s="380" t="s">
        <v>189</v>
      </c>
      <c r="N3" s="53" t="s">
        <v>66</v>
      </c>
      <c r="O3" s="53" t="s">
        <v>60</v>
      </c>
      <c r="P3" s="53" t="s">
        <v>61</v>
      </c>
      <c r="Q3" s="53" t="s">
        <v>105</v>
      </c>
      <c r="R3" s="53" t="s">
        <v>199</v>
      </c>
      <c r="S3" s="53" t="s">
        <v>62</v>
      </c>
      <c r="T3" s="109" t="s">
        <v>87</v>
      </c>
      <c r="U3" s="53" t="s">
        <v>69</v>
      </c>
      <c r="V3" s="53" t="s">
        <v>68</v>
      </c>
      <c r="W3" s="115" t="s">
        <v>88</v>
      </c>
      <c r="X3" s="75" t="s">
        <v>35</v>
      </c>
      <c r="Y3" s="75" t="s">
        <v>73</v>
      </c>
      <c r="Z3" s="76" t="s">
        <v>76</v>
      </c>
      <c r="AA3" s="76" t="s">
        <v>77</v>
      </c>
      <c r="AB3" s="76" t="s">
        <v>78</v>
      </c>
      <c r="AC3" s="76" t="s">
        <v>79</v>
      </c>
      <c r="AD3" s="76" t="s">
        <v>108</v>
      </c>
      <c r="AE3" s="76" t="s">
        <v>110</v>
      </c>
      <c r="AF3" s="76" t="s">
        <v>39</v>
      </c>
      <c r="AG3" s="76" t="s">
        <v>80</v>
      </c>
      <c r="AH3" s="76" t="s">
        <v>109</v>
      </c>
    </row>
    <row r="4" spans="1:34" ht="15">
      <c r="A4" s="78">
        <v>1</v>
      </c>
      <c r="B4" s="79">
        <f>'Energy Data Entry'!B25</f>
        <v>42186</v>
      </c>
      <c r="C4" s="80">
        <f>IF(OR('Process Data Entry'!C6="",'Process Data Entry'!C6=0),"",'Process Data Entry'!C6)</f>
        <v>1.56</v>
      </c>
      <c r="D4" s="81">
        <f>IF(Table4[[#This Row],[Avg Daily Flow]]="","",_xlfn.DAYS(EOMONTH(B4,0),EOMONTH(B4,-1))*C4)</f>
        <v>48.36</v>
      </c>
      <c r="E4" s="81">
        <f>IF('Process Data Entry'!F6="","",'Process Data Entry'!F6)</f>
        <v>2125.2488399999997</v>
      </c>
      <c r="F4" s="82">
        <f>IF(Table4[[#This Row],[BOD removed]]="","",Table4[[#This Row],[BOD removed]]*_xlfn.DAYS(EOMONTH(Table4[[#This Row],[Column2]],0),EOMONTH(Table4[[#This Row],[Column2]],-1)))</f>
        <v>65882.71403999999</v>
      </c>
      <c r="G4" s="83">
        <f>IF(SUM('Energy Data Entry'!C25,'Energy Data Entry'!H25,'Energy Data Entry'!M25,'Energy Data Entry'!R25,'Energy Data Entry'!W25)=0,"",SUM('Energy Data Entry'!C25,'Energy Data Entry'!H25,'Energy Data Entry'!M25,'Energy Data Entry'!R25,'Energy Data Entry'!W25))</f>
        <v>155719.19999999998</v>
      </c>
      <c r="H4" s="83">
        <f>'Energy Data Entry'!AG25</f>
        <v>0</v>
      </c>
      <c r="I4" s="83">
        <f>IF(Table4[[#This Row],[Electric kWh usage]]="","",Table4[[#This Row],[Gas kWh usage]]+Table4[[#This Row],[Electric kWh usage]])</f>
        <v>155719.19999999998</v>
      </c>
      <c r="J4" s="82">
        <f>IF(OR(Table4[[#This Row],[Electric kWh usage]]="",Table4[[#This Row],[Monthly Flow]]=""),"",(Table4[[#This Row],[Electric kWh usage]]+Table4[[#This Row],[Gas kWh usage]])/Table4[[#This Row],[Monthly Flow]])</f>
        <v>3219.9999999999995</v>
      </c>
      <c r="K4" s="84">
        <f>_xlfn.IFERROR(IF(Table4[[#This Row],[Electric kWh usage]]="","",(Table4[[#This Row],[Electric kWh usage]]+Table4[[#This Row],[Gas kWh usage]])/Table4[[#This Row],[Total BOD removed]]),"")</f>
        <v>2.3635820452912233</v>
      </c>
      <c r="L4" s="83">
        <f>IF('Energy Data Entry'!E25+'Energy Data Entry'!J25+'Energy Data Entry'!O25+'Energy Data Entry'!T25+'Energy Data Entry'!Y25=0,"",'Energy Data Entry'!E25+'Energy Data Entry'!J25+'Energy Data Entry'!O25+'Energy Data Entry'!T25+'Energy Data Entry'!Y25)</f>
        <v>275</v>
      </c>
      <c r="M4" s="83">
        <f>IF('Energy Data Entry'!F25+'Energy Data Entry'!K25+'Energy Data Entry'!P25++'Energy Data Entry'!U25+'Energy Data Entry'!Z25=0,"",'Energy Data Entry'!F25+'Energy Data Entry'!K25+'Energy Data Entry'!P25++'Energy Data Entry'!U25+'Energy Data Entry'!Z25)</f>
        <v>275</v>
      </c>
      <c r="N4" s="85">
        <f>IF('Energy Data Entry'!G25+'Energy Data Entry'!L25+'Energy Data Entry'!Q25+'Energy Data Entry'!V25+'Energy Data Entry'!AA25=0,"",'Energy Data Entry'!G25+'Energy Data Entry'!L25+'Energy Data Entry'!Q25+'Energy Data Entry'!V25+'Energy Data Entry'!AA25)</f>
        <v>3025</v>
      </c>
      <c r="O4" s="85">
        <f>IF('Energy Data Entry'!D25+'Energy Data Entry'!I25+'Energy Data Entry'!N25+'Energy Data Entry'!S25+'Energy Data Entry'!X25=0,"",'Energy Data Entry'!D25+'Energy Data Entry'!I25+'Energy Data Entry'!N25+'Energy Data Entry'!S25+'Energy Data Entry'!X25)</f>
        <v>12368.152</v>
      </c>
      <c r="P4" s="403">
        <f>'Energy Data Entry'!AF25</f>
        <v>0</v>
      </c>
      <c r="Q4" s="151">
        <f>_xlfn.IFERROR(Table4[[#This Row],[Total electric cost]]/Table4[[#This Row],[Electric kWh usage]],"")</f>
        <v>0.07942599242739497</v>
      </c>
      <c r="R4" s="151">
        <f>_xlfn.IFERROR(Table4[[#This Row],[Electric Demand Cost]]/Table4[[#This Row],[Total Electric Demand (Billed)]],_xlfn.IFERROR(Table4[[#This Row],[Electric Demand Cost]]/Table4[[#This Row],[Total Electric Demand (Actual)]],""))</f>
        <v>11</v>
      </c>
      <c r="S4" s="85">
        <f>_xlfn.IFERROR(Table4[[#This Row],[Total Gas cost]]+Table4[[#This Row],[Total electric cost]],"")</f>
        <v>12368.152</v>
      </c>
      <c r="T4" s="111"/>
      <c r="U4" s="85">
        <f>_xlfn.IFERROR(Table4[[#This Row],[Total Energy Cost]]/Table4[[#This Row],[Monthly Flow]],"")</f>
        <v>255.75169561621175</v>
      </c>
      <c r="V4" s="85">
        <f>_xlfn.IFERROR(Table4[[#This Row],[Total Energy Cost]]/Table4[[#This Row],[Total BOD removed]],"")</f>
        <v>0.1877298496308274</v>
      </c>
      <c r="W4" s="116"/>
      <c r="X4" s="86">
        <f>IF('Process Data Entry'!G6="","",'Process Data Entry'!G6)</f>
        <v>31</v>
      </c>
      <c r="Y4" s="86">
        <f>IF('Process Data Entry'!H6="","",'Process Data Entry'!H6)</f>
        <v>14</v>
      </c>
      <c r="Z4" s="86">
        <f>IF('Process Data Entry'!I6="",0,'Process Data Entry'!I6)</f>
        <v>0</v>
      </c>
      <c r="AA4" s="86">
        <f>IF('Process Data Entry'!J6="","",'Process Data Entry'!J6)</f>
        <v>3</v>
      </c>
      <c r="AB4" s="86">
        <f>IF('Process Data Entry'!K6="","",'Process Data Entry'!K6)</f>
        <v>1.2</v>
      </c>
      <c r="AC4" s="86">
        <f>IF('Process Data Entry'!L6="","",'Process Data Entry'!L6)</f>
        <v>17.4</v>
      </c>
      <c r="AD4" s="87">
        <f aca="true" t="shared" si="0" ref="AD4:AD35">_xlfn.IFERROR(IF(OR(X4="",AC4="",AND(AA4="",AB4=""),((X4+Z4)-(MAX(AA4,AB4)+AC4))&lt;0),"",(X4+Z4)-(MAX(AA4,AB4)+AC4)),"")</f>
        <v>10.600000000000001</v>
      </c>
      <c r="AE4" s="87">
        <f aca="true" t="shared" si="1" ref="AE4:AE35">IF(OR(AD4="",D4=""),"",AD4*D4*8.34)</f>
        <v>4275.21744</v>
      </c>
      <c r="AF4" s="150">
        <f>IF('Process Data Entry'!M6="","",'Process Data Entry'!M6)</f>
        <v>9.1</v>
      </c>
      <c r="AG4" s="150">
        <f>IF('Process Data Entry'!N6="","",'Process Data Entry'!N6)</f>
        <v>0.8</v>
      </c>
      <c r="AH4" s="81">
        <f aca="true" t="shared" si="2" ref="AH4:AH35">IF(OR(AF4="",AG4="",D4=""),"",8.34*D4*(AF4-AG4))</f>
        <v>3347.5759199999998</v>
      </c>
    </row>
    <row r="5" spans="1:34" ht="15">
      <c r="A5" s="78">
        <v>1</v>
      </c>
      <c r="B5" s="79">
        <f>'Energy Data Entry'!B26</f>
        <v>42217</v>
      </c>
      <c r="C5" s="80">
        <f>IF(OR('Process Data Entry'!C7="",'Process Data Entry'!C7=0),"",'Process Data Entry'!C7)</f>
        <v>1.92</v>
      </c>
      <c r="D5" s="81">
        <f>IF(Table4[[#This Row],[Avg Daily Flow]]="","",_xlfn.DAYS(EOMONTH(B5,0),EOMONTH(B5,-1))*C5)</f>
        <v>59.519999999999996</v>
      </c>
      <c r="E5" s="81">
        <f>IF('Process Data Entry'!F7="","",'Process Data Entry'!F7)</f>
        <v>3074.4576</v>
      </c>
      <c r="F5" s="82">
        <f>IF(Table4[[#This Row],[BOD removed]]="","",Table4[[#This Row],[BOD removed]]*_xlfn.DAYS(EOMONTH(Table4[[#This Row],[Column2]],0),EOMONTH(Table4[[#This Row],[Column2]],-1)))</f>
        <v>95308.18560000001</v>
      </c>
      <c r="G5" s="83">
        <f>IF(SUM('Energy Data Entry'!C26,'Energy Data Entry'!H26,'Energy Data Entry'!M26,'Energy Data Entry'!R26,'Energy Data Entry'!W26)=0,"",SUM('Energy Data Entry'!C26,'Energy Data Entry'!H26,'Energy Data Entry'!M26,'Energy Data Entry'!R26,'Energy Data Entry'!W26))</f>
        <v>154828.8</v>
      </c>
      <c r="H5" s="83">
        <f>'Energy Data Entry'!AG26</f>
        <v>0</v>
      </c>
      <c r="I5" s="83">
        <f>IF(Table4[[#This Row],[Electric kWh usage]]="","",Table4[[#This Row],[Gas kWh usage]]+Table4[[#This Row],[Electric kWh usage]])</f>
        <v>154828.8</v>
      </c>
      <c r="J5" s="82">
        <f>IF(OR(Table4[[#This Row],[Electric kWh usage]]="",Table4[[#This Row],[Monthly Flow]]=""),"",(Table4[[#This Row],[Electric kWh usage]]+Table4[[#This Row],[Gas kWh usage]])/Table4[[#This Row],[Monthly Flow]])</f>
        <v>2601.2903225806454</v>
      </c>
      <c r="K5" s="84">
        <f>_xlfn.IFERROR(IF(Table4[[#This Row],[Electric kWh usage]]="","",(Table4[[#This Row],[Electric kWh usage]]+Table4[[#This Row],[Gas kWh usage]])/Table4[[#This Row],[Total BOD removed]]),"")</f>
        <v>1.6245068461359942</v>
      </c>
      <c r="L5" s="83">
        <f>IF('Energy Data Entry'!E26+'Energy Data Entry'!J26+'Energy Data Entry'!O26+'Energy Data Entry'!T26+'Energy Data Entry'!Y26=0,"",'Energy Data Entry'!E26+'Energy Data Entry'!J26+'Energy Data Entry'!O26+'Energy Data Entry'!T26+'Energy Data Entry'!Y26)</f>
        <v>279</v>
      </c>
      <c r="M5" s="83">
        <f>IF('Energy Data Entry'!F26+'Energy Data Entry'!K26+'Energy Data Entry'!P26++'Energy Data Entry'!U26+'Energy Data Entry'!Z26=0,"",'Energy Data Entry'!F26+'Energy Data Entry'!K26+'Energy Data Entry'!P26++'Energy Data Entry'!U26+'Energy Data Entry'!Z26)</f>
        <v>279</v>
      </c>
      <c r="N5" s="85">
        <f>IF('Energy Data Entry'!G26+'Energy Data Entry'!L26+'Energy Data Entry'!Q26+'Energy Data Entry'!V26+'Energy Data Entry'!AA26=0,"",'Energy Data Entry'!G26+'Energy Data Entry'!L26+'Energy Data Entry'!Q26+'Energy Data Entry'!V26+'Energy Data Entry'!AA26)</f>
        <v>3069</v>
      </c>
      <c r="O5" s="85">
        <f>IF('Energy Data Entry'!D26+'Energy Data Entry'!I26+'Energy Data Entry'!N26+'Energy Data Entry'!S26+'Energy Data Entry'!X26=0,"",'Energy Data Entry'!D26+'Energy Data Entry'!I26+'Energy Data Entry'!N26+'Energy Data Entry'!S26+'Energy Data Entry'!X26)</f>
        <v>12358.728</v>
      </c>
      <c r="P5" s="403">
        <f>'Energy Data Entry'!AF26</f>
        <v>0</v>
      </c>
      <c r="Q5" s="151">
        <f>_xlfn.IFERROR(Table4[[#This Row],[Total electric cost]]/Table4[[#This Row],[Electric kWh usage]],"")</f>
        <v>0.07982189360119048</v>
      </c>
      <c r="R5" s="151">
        <f>_xlfn.IFERROR(Table4[[#This Row],[Electric Demand Cost]]/Table4[[#This Row],[Total Electric Demand (Billed)]],_xlfn.IFERROR(Table4[[#This Row],[Electric Demand Cost]]/Table4[[#This Row],[Total Electric Demand (Actual)]],""))</f>
        <v>11</v>
      </c>
      <c r="S5" s="85">
        <f>_xlfn.IFERROR(Table4[[#This Row],[Total Gas cost]]+Table4[[#This Row],[Total electric cost]],"")</f>
        <v>12358.728</v>
      </c>
      <c r="T5" s="111"/>
      <c r="U5" s="85">
        <f>_xlfn.IFERROR(Table4[[#This Row],[Total Energy Cost]]/Table4[[#This Row],[Monthly Flow]],"")</f>
        <v>207.6399193548387</v>
      </c>
      <c r="V5" s="85">
        <f>_xlfn.IFERROR(Table4[[#This Row],[Total Energy Cost]]/Table4[[#This Row],[Total BOD removed]],"")</f>
        <v>0.12967121262667283</v>
      </c>
      <c r="W5" s="116"/>
      <c r="X5" s="86">
        <f>IF('Process Data Entry'!G7="","",'Process Data Entry'!G7)</f>
        <v>33</v>
      </c>
      <c r="Y5" s="86">
        <f>IF('Process Data Entry'!H7="","",'Process Data Entry'!H7)</f>
        <v>18</v>
      </c>
      <c r="Z5" s="86">
        <f>IF('Process Data Entry'!I7="",0,'Process Data Entry'!I7)</f>
        <v>0</v>
      </c>
      <c r="AA5" s="86">
        <f>IF('Process Data Entry'!J7="","",'Process Data Entry'!J7)</f>
        <v>3.1</v>
      </c>
      <c r="AB5" s="86">
        <f>IF('Process Data Entry'!K7="","",'Process Data Entry'!K7)</f>
        <v>1.2</v>
      </c>
      <c r="AC5" s="86">
        <f>IF('Process Data Entry'!L7="","",'Process Data Entry'!L7)</f>
        <v>20.3</v>
      </c>
      <c r="AD5" s="87">
        <f t="shared" si="0"/>
        <v>9.599999999999998</v>
      </c>
      <c r="AE5" s="87">
        <f t="shared" si="1"/>
        <v>4765.409279999998</v>
      </c>
      <c r="AF5" s="150">
        <f>IF('Process Data Entry'!M7="","",'Process Data Entry'!M7)</f>
        <v>7.9</v>
      </c>
      <c r="AG5" s="150">
        <f>IF('Process Data Entry'!N7="","",'Process Data Entry'!N7)</f>
        <v>0.5</v>
      </c>
      <c r="AH5" s="81">
        <f t="shared" si="2"/>
        <v>3673.33632</v>
      </c>
    </row>
    <row r="6" spans="1:34" ht="15">
      <c r="A6" s="78">
        <v>1</v>
      </c>
      <c r="B6" s="79">
        <f>'Energy Data Entry'!B27</f>
        <v>42248</v>
      </c>
      <c r="C6" s="80">
        <f>IF(OR('Process Data Entry'!C8="",'Process Data Entry'!C8=0),"",'Process Data Entry'!C8)</f>
        <v>2.08</v>
      </c>
      <c r="D6" s="81">
        <f>IF(Table4[[#This Row],[Avg Daily Flow]]="","",_xlfn.DAYS(EOMONTH(B6,0),EOMONTH(B6,-1))*C6)</f>
        <v>62.400000000000006</v>
      </c>
      <c r="E6" s="81">
        <f>IF('Process Data Entry'!F8="","",'Process Data Entry'!F8)</f>
        <v>2844.0734399999997</v>
      </c>
      <c r="F6" s="82">
        <f>IF(Table4[[#This Row],[BOD removed]]="","",Table4[[#This Row],[BOD removed]]*_xlfn.DAYS(EOMONTH(Table4[[#This Row],[Column2]],0),EOMONTH(Table4[[#This Row],[Column2]],-1)))</f>
        <v>85322.20319999999</v>
      </c>
      <c r="G6" s="83">
        <f>IF(SUM('Energy Data Entry'!C27,'Energy Data Entry'!H27,'Energy Data Entry'!M27,'Energy Data Entry'!R27,'Energy Data Entry'!W27)=0,"",SUM('Energy Data Entry'!C27,'Energy Data Entry'!H27,'Energy Data Entry'!M27,'Energy Data Entry'!R27,'Energy Data Entry'!W27))</f>
        <v>176933.12000000002</v>
      </c>
      <c r="H6" s="83">
        <f>'Energy Data Entry'!AG27</f>
        <v>0</v>
      </c>
      <c r="I6" s="83">
        <f>IF(Table4[[#This Row],[Electric kWh usage]]="","",Table4[[#This Row],[Gas kWh usage]]+Table4[[#This Row],[Electric kWh usage]])</f>
        <v>176933.12000000002</v>
      </c>
      <c r="J6" s="82">
        <f>IF(OR(Table4[[#This Row],[Electric kWh usage]]="",Table4[[#This Row],[Monthly Flow]]=""),"",(Table4[[#This Row],[Electric kWh usage]]+Table4[[#This Row],[Gas kWh usage]])/Table4[[#This Row],[Monthly Flow]])</f>
        <v>2835.4666666666667</v>
      </c>
      <c r="K6" s="84">
        <f>_xlfn.IFERROR(IF(Table4[[#This Row],[Electric kWh usage]]="","",(Table4[[#This Row],[Electric kWh usage]]+Table4[[#This Row],[Gas kWh usage]])/Table4[[#This Row],[Total BOD removed]]),"")</f>
        <v>2.0737054759973668</v>
      </c>
      <c r="L6" s="83">
        <f>IF('Energy Data Entry'!E27+'Energy Data Entry'!J27+'Energy Data Entry'!O27+'Energy Data Entry'!T27+'Energy Data Entry'!Y27=0,"",'Energy Data Entry'!E27+'Energy Data Entry'!J27+'Energy Data Entry'!O27+'Energy Data Entry'!T27+'Energy Data Entry'!Y27)</f>
        <v>313</v>
      </c>
      <c r="M6" s="83">
        <f>IF('Energy Data Entry'!F27+'Energy Data Entry'!K27+'Energy Data Entry'!P27++'Energy Data Entry'!U27+'Energy Data Entry'!Z27=0,"",'Energy Data Entry'!F27+'Energy Data Entry'!K27+'Energy Data Entry'!P27++'Energy Data Entry'!U27+'Energy Data Entry'!Z27)</f>
        <v>313</v>
      </c>
      <c r="N6" s="85">
        <f>IF('Energy Data Entry'!G27+'Energy Data Entry'!L27+'Energy Data Entry'!Q27+'Energy Data Entry'!V27+'Energy Data Entry'!AA27=0,"",'Energy Data Entry'!G27+'Energy Data Entry'!L27+'Energy Data Entry'!Q27+'Energy Data Entry'!V27+'Energy Data Entry'!AA27)</f>
        <v>3443</v>
      </c>
      <c r="O6" s="85">
        <f>IF('Energy Data Entry'!D27+'Energy Data Entry'!I27+'Energy Data Entry'!N27+'Energy Data Entry'!S27+'Energy Data Entry'!X27=0,"",'Energy Data Entry'!D27+'Energy Data Entry'!I27+'Energy Data Entry'!N27+'Energy Data Entry'!S27+'Energy Data Entry'!X27)</f>
        <v>14058.987200000001</v>
      </c>
      <c r="P6" s="403">
        <f>'Energy Data Entry'!AF27</f>
        <v>0</v>
      </c>
      <c r="Q6" s="151">
        <f>_xlfn.IFERROR(Table4[[#This Row],[Total electric cost]]/Table4[[#This Row],[Electric kWh usage]],"")</f>
        <v>0.07945933016950134</v>
      </c>
      <c r="R6" s="151">
        <f>_xlfn.IFERROR(Table4[[#This Row],[Electric Demand Cost]]/Table4[[#This Row],[Total Electric Demand (Billed)]],_xlfn.IFERROR(Table4[[#This Row],[Electric Demand Cost]]/Table4[[#This Row],[Total Electric Demand (Actual)]],""))</f>
        <v>11</v>
      </c>
      <c r="S6" s="85">
        <f>_xlfn.IFERROR(Table4[[#This Row],[Total Gas cost]]+Table4[[#This Row],[Total electric cost]],"")</f>
        <v>14058.987200000001</v>
      </c>
      <c r="T6" s="111"/>
      <c r="U6" s="85">
        <f>_xlfn.IFERROR(Table4[[#This Row],[Total Energy Cost]]/Table4[[#This Row],[Monthly Flow]],"")</f>
        <v>225.30428205128206</v>
      </c>
      <c r="V6" s="85">
        <f>_xlfn.IFERROR(Table4[[#This Row],[Total Energy Cost]]/Table4[[#This Row],[Total BOD removed]],"")</f>
        <v>0.16477524809157768</v>
      </c>
      <c r="W6" s="116"/>
      <c r="X6" s="86">
        <f>IF('Process Data Entry'!G8="","",'Process Data Entry'!G8)</f>
        <v>36</v>
      </c>
      <c r="Y6" s="86">
        <f>IF('Process Data Entry'!H8="","",'Process Data Entry'!H8)</f>
        <v>15</v>
      </c>
      <c r="Z6" s="86">
        <f>IF('Process Data Entry'!I8="",0,'Process Data Entry'!I8)</f>
        <v>0</v>
      </c>
      <c r="AA6" s="86">
        <f>IF('Process Data Entry'!J8="","",'Process Data Entry'!J8)</f>
        <v>3</v>
      </c>
      <c r="AB6" s="86">
        <f>IF('Process Data Entry'!K8="","",'Process Data Entry'!K8)</f>
        <v>1.5</v>
      </c>
      <c r="AC6" s="86">
        <f>IF('Process Data Entry'!L8="","",'Process Data Entry'!L8)</f>
        <v>13.7</v>
      </c>
      <c r="AD6" s="87">
        <f t="shared" si="0"/>
        <v>19.3</v>
      </c>
      <c r="AE6" s="87">
        <f t="shared" si="1"/>
        <v>10044.028800000002</v>
      </c>
      <c r="AF6" s="150">
        <f>IF('Process Data Entry'!M8="","",'Process Data Entry'!M8)</f>
        <v>8.5</v>
      </c>
      <c r="AG6" s="150">
        <f>IF('Process Data Entry'!N8="","",'Process Data Entry'!N8)</f>
        <v>1.2</v>
      </c>
      <c r="AH6" s="81">
        <f t="shared" si="2"/>
        <v>3799.0368000000003</v>
      </c>
    </row>
    <row r="7" spans="1:34" ht="15">
      <c r="A7" s="78">
        <v>1</v>
      </c>
      <c r="B7" s="79">
        <f>'Energy Data Entry'!B28</f>
        <v>42278</v>
      </c>
      <c r="C7" s="80">
        <f>IF(OR('Process Data Entry'!C9="",'Process Data Entry'!C9=0),"",'Process Data Entry'!C9)</f>
        <v>1.68</v>
      </c>
      <c r="D7" s="81">
        <f>IF(Table4[[#This Row],[Avg Daily Flow]]="","",_xlfn.DAYS(EOMONTH(B7,0),EOMONTH(B7,-1))*C7)</f>
        <v>52.08</v>
      </c>
      <c r="E7" s="81">
        <f>IF('Process Data Entry'!F9="","",'Process Data Entry'!F9)</f>
        <v>2138.80968</v>
      </c>
      <c r="F7" s="82">
        <f>IF(Table4[[#This Row],[BOD removed]]="","",Table4[[#This Row],[BOD removed]]*_xlfn.DAYS(EOMONTH(Table4[[#This Row],[Column2]],0),EOMONTH(Table4[[#This Row],[Column2]],-1)))</f>
        <v>66303.10007999999</v>
      </c>
      <c r="G7" s="83">
        <f>IF(SUM('Energy Data Entry'!C28,'Energy Data Entry'!H28,'Energy Data Entry'!M28,'Energy Data Entry'!R28,'Energy Data Entry'!W28)=0,"",SUM('Energy Data Entry'!C28,'Energy Data Entry'!H28,'Energy Data Entry'!M28,'Energy Data Entry'!R28,'Energy Data Entry'!W28))</f>
        <v>156643.2</v>
      </c>
      <c r="H7" s="83">
        <f>'Energy Data Entry'!AG28</f>
        <v>0</v>
      </c>
      <c r="I7" s="83">
        <f>IF(Table4[[#This Row],[Electric kWh usage]]="","",Table4[[#This Row],[Gas kWh usage]]+Table4[[#This Row],[Electric kWh usage]])</f>
        <v>156643.2</v>
      </c>
      <c r="J7" s="82">
        <f>IF(OR(Table4[[#This Row],[Electric kWh usage]]="",Table4[[#This Row],[Monthly Flow]]=""),"",(Table4[[#This Row],[Electric kWh usage]]+Table4[[#This Row],[Gas kWh usage]])/Table4[[#This Row],[Monthly Flow]])</f>
        <v>3007.741935483871</v>
      </c>
      <c r="K7" s="84">
        <f>_xlfn.IFERROR(IF(Table4[[#This Row],[Electric kWh usage]]="","",(Table4[[#This Row],[Electric kWh usage]]+Table4[[#This Row],[Gas kWh usage]])/Table4[[#This Row],[Total BOD removed]]),"")</f>
        <v>2.3625320657857247</v>
      </c>
      <c r="L7" s="83">
        <f>IF('Energy Data Entry'!E28+'Energy Data Entry'!J28+'Energy Data Entry'!O28+'Energy Data Entry'!T28+'Energy Data Entry'!Y28=0,"",'Energy Data Entry'!E28+'Energy Data Entry'!J28+'Energy Data Entry'!O28+'Energy Data Entry'!T28+'Energy Data Entry'!Y28)</f>
        <v>298</v>
      </c>
      <c r="M7" s="83">
        <f>IF('Energy Data Entry'!F28+'Energy Data Entry'!K28+'Energy Data Entry'!P28++'Energy Data Entry'!U28+'Energy Data Entry'!Z28=0,"",'Energy Data Entry'!F28+'Energy Data Entry'!K28+'Energy Data Entry'!P28++'Energy Data Entry'!U28+'Energy Data Entry'!Z28)</f>
        <v>298</v>
      </c>
      <c r="N7" s="85">
        <f>IF('Energy Data Entry'!G28+'Energy Data Entry'!L28+'Energy Data Entry'!Q28+'Energy Data Entry'!V28+'Energy Data Entry'!AA28=0,"",'Energy Data Entry'!G28+'Energy Data Entry'!L28+'Energy Data Entry'!Q28+'Energy Data Entry'!V28+'Energy Data Entry'!AA28)</f>
        <v>3278</v>
      </c>
      <c r="O7" s="85">
        <f>IF('Energy Data Entry'!D28+'Energy Data Entry'!I28+'Energy Data Entry'!N28+'Energy Data Entry'!S28+'Energy Data Entry'!X28=0,"",'Energy Data Entry'!D28+'Energy Data Entry'!I28+'Energy Data Entry'!N28+'Energy Data Entry'!S28+'Energy Data Entry'!X28)</f>
        <v>12676.592</v>
      </c>
      <c r="P7" s="403">
        <f>'Energy Data Entry'!AF28</f>
        <v>0</v>
      </c>
      <c r="Q7" s="151">
        <f>_xlfn.IFERROR(Table4[[#This Row],[Total electric cost]]/Table4[[#This Row],[Electric kWh usage]],"")</f>
        <v>0.08092653878368164</v>
      </c>
      <c r="R7" s="151">
        <f>_xlfn.IFERROR(Table4[[#This Row],[Electric Demand Cost]]/Table4[[#This Row],[Total Electric Demand (Billed)]],_xlfn.IFERROR(Table4[[#This Row],[Electric Demand Cost]]/Table4[[#This Row],[Total Electric Demand (Actual)]],""))</f>
        <v>11</v>
      </c>
      <c r="S7" s="85">
        <f>_xlfn.IFERROR(Table4[[#This Row],[Total Gas cost]]+Table4[[#This Row],[Total electric cost]],"")</f>
        <v>12676.592</v>
      </c>
      <c r="T7" s="111"/>
      <c r="U7" s="85">
        <f>_xlfn.IFERROR(Table4[[#This Row],[Total Energy Cost]]/Table4[[#This Row],[Monthly Flow]],"")</f>
        <v>243.4061443932412</v>
      </c>
      <c r="V7" s="85">
        <f>_xlfn.IFERROR(Table4[[#This Row],[Total Energy Cost]]/Table4[[#This Row],[Total BOD removed]],"")</f>
        <v>0.19119154284949993</v>
      </c>
      <c r="W7" s="116"/>
      <c r="X7" s="86">
        <f>IF('Process Data Entry'!G9="","",'Process Data Entry'!G9)</f>
        <v>34</v>
      </c>
      <c r="Y7" s="86">
        <f>IF('Process Data Entry'!H9="","",'Process Data Entry'!H9)</f>
        <v>14</v>
      </c>
      <c r="Z7" s="86">
        <f>IF('Process Data Entry'!I9="",0,'Process Data Entry'!I9)</f>
        <v>0</v>
      </c>
      <c r="AA7" s="86">
        <f>IF('Process Data Entry'!J9="","",'Process Data Entry'!J9)</f>
        <v>3</v>
      </c>
      <c r="AB7" s="86">
        <f>IF('Process Data Entry'!K9="","",'Process Data Entry'!K9)</f>
        <v>1.2</v>
      </c>
      <c r="AC7" s="86">
        <f>IF('Process Data Entry'!L9="","",'Process Data Entry'!L9)</f>
        <v>9.6</v>
      </c>
      <c r="AD7" s="87">
        <f t="shared" si="0"/>
        <v>21.4</v>
      </c>
      <c r="AE7" s="87">
        <f t="shared" si="1"/>
        <v>9295.030079999999</v>
      </c>
      <c r="AF7" s="150">
        <f>IF('Process Data Entry'!M9="","",'Process Data Entry'!M9)</f>
        <v>6.9</v>
      </c>
      <c r="AG7" s="150">
        <f>IF('Process Data Entry'!N9="","",'Process Data Entry'!N9)</f>
        <v>0.8</v>
      </c>
      <c r="AH7" s="81">
        <f t="shared" si="2"/>
        <v>2649.5179200000002</v>
      </c>
    </row>
    <row r="8" spans="1:34" ht="15">
      <c r="A8" s="78">
        <v>1</v>
      </c>
      <c r="B8" s="79">
        <f>'Energy Data Entry'!B29</f>
        <v>42309</v>
      </c>
      <c r="C8" s="80">
        <f>IF(OR('Process Data Entry'!C10="",'Process Data Entry'!C10=0),"",'Process Data Entry'!C10)</f>
        <v>1.92</v>
      </c>
      <c r="D8" s="81">
        <f>IF(Table4[[#This Row],[Avg Daily Flow]]="","",_xlfn.DAYS(EOMONTH(B8,0),EOMONTH(B8,-1))*C8)</f>
        <v>57.599999999999994</v>
      </c>
      <c r="E8" s="81">
        <f>IF('Process Data Entry'!F10="","",'Process Data Entry'!F10)</f>
        <v>2352.28032</v>
      </c>
      <c r="F8" s="82">
        <f>IF(Table4[[#This Row],[BOD removed]]="","",Table4[[#This Row],[BOD removed]]*_xlfn.DAYS(EOMONTH(Table4[[#This Row],[Column2]],0),EOMONTH(Table4[[#This Row],[Column2]],-1)))</f>
        <v>70568.4096</v>
      </c>
      <c r="G8" s="83">
        <f>IF(SUM('Energy Data Entry'!C29,'Energy Data Entry'!H29,'Energy Data Entry'!M29,'Energy Data Entry'!R29,'Energy Data Entry'!W29)=0,"",SUM('Energy Data Entry'!C29,'Energy Data Entry'!H29,'Energy Data Entry'!M29,'Energy Data Entry'!R29,'Energy Data Entry'!W29))</f>
        <v>163322.87999999998</v>
      </c>
      <c r="H8" s="83">
        <f>'Energy Data Entry'!AG29</f>
        <v>0</v>
      </c>
      <c r="I8" s="83">
        <f>IF(Table4[[#This Row],[Electric kWh usage]]="","",Table4[[#This Row],[Gas kWh usage]]+Table4[[#This Row],[Electric kWh usage]])</f>
        <v>163322.87999999998</v>
      </c>
      <c r="J8" s="82">
        <f>IF(OR(Table4[[#This Row],[Electric kWh usage]]="",Table4[[#This Row],[Monthly Flow]]=""),"",(Table4[[#This Row],[Electric kWh usage]]+Table4[[#This Row],[Gas kWh usage]])/Table4[[#This Row],[Monthly Flow]])</f>
        <v>2835.4666666666667</v>
      </c>
      <c r="K8" s="84">
        <f>_xlfn.IFERROR(IF(Table4[[#This Row],[Electric kWh usage]]="","",(Table4[[#This Row],[Electric kWh usage]]+Table4[[#This Row],[Gas kWh usage]])/Table4[[#This Row],[Total BOD removed]]),"")</f>
        <v>2.3143908290658146</v>
      </c>
      <c r="L8" s="83">
        <f>IF('Energy Data Entry'!E29+'Energy Data Entry'!J29+'Energy Data Entry'!O29+'Energy Data Entry'!T29+'Energy Data Entry'!Y29=0,"",'Energy Data Entry'!E29+'Energy Data Entry'!J29+'Energy Data Entry'!O29+'Energy Data Entry'!T29+'Energy Data Entry'!Y29)</f>
        <v>293</v>
      </c>
      <c r="M8" s="83">
        <f>IF('Energy Data Entry'!F29+'Energy Data Entry'!K29+'Energy Data Entry'!P29++'Energy Data Entry'!U29+'Energy Data Entry'!Z29=0,"",'Energy Data Entry'!F29+'Energy Data Entry'!K29+'Energy Data Entry'!P29++'Energy Data Entry'!U29+'Energy Data Entry'!Z29)</f>
        <v>293</v>
      </c>
      <c r="N8" s="85">
        <f>IF('Energy Data Entry'!G29+'Energy Data Entry'!L29+'Energy Data Entry'!Q29+'Energy Data Entry'!V29+'Energy Data Entry'!AA29=0,"",'Energy Data Entry'!G29+'Energy Data Entry'!L29+'Energy Data Entry'!Q29+'Energy Data Entry'!V29+'Energy Data Entry'!AA29)</f>
        <v>3223</v>
      </c>
      <c r="O8" s="85">
        <f>IF('Energy Data Entry'!D29+'Energy Data Entry'!I29+'Energy Data Entry'!N29+'Energy Data Entry'!S29+'Energy Data Entry'!X29=0,"",'Energy Data Entry'!D29+'Energy Data Entry'!I29+'Energy Data Entry'!N29+'Energy Data Entry'!S29+'Energy Data Entry'!X29)</f>
        <v>13022.372799999997</v>
      </c>
      <c r="P8" s="403">
        <f>'Energy Data Entry'!AF29</f>
        <v>0</v>
      </c>
      <c r="Q8" s="151">
        <f>_xlfn.IFERROR(Table4[[#This Row],[Total electric cost]]/Table4[[#This Row],[Electric kWh usage]],"")</f>
        <v>0.07973391603185052</v>
      </c>
      <c r="R8" s="151">
        <f>_xlfn.IFERROR(Table4[[#This Row],[Electric Demand Cost]]/Table4[[#This Row],[Total Electric Demand (Billed)]],_xlfn.IFERROR(Table4[[#This Row],[Electric Demand Cost]]/Table4[[#This Row],[Total Electric Demand (Actual)]],""))</f>
        <v>11</v>
      </c>
      <c r="S8" s="85">
        <f>_xlfn.IFERROR(Table4[[#This Row],[Total Gas cost]]+Table4[[#This Row],[Total electric cost]],"")</f>
        <v>13022.372799999997</v>
      </c>
      <c r="T8" s="111"/>
      <c r="U8" s="85">
        <f>_xlfn.IFERROR(Table4[[#This Row],[Total Energy Cost]]/Table4[[#This Row],[Monthly Flow]],"")</f>
        <v>226.0828611111111</v>
      </c>
      <c r="V8" s="85">
        <f>_xlfn.IFERROR(Table4[[#This Row],[Total Energy Cost]]/Table4[[#This Row],[Total BOD removed]],"")</f>
        <v>0.18453544402961858</v>
      </c>
      <c r="W8" s="116"/>
      <c r="X8" s="86">
        <f>IF('Process Data Entry'!G10="","",'Process Data Entry'!G10)</f>
        <v>31</v>
      </c>
      <c r="Y8" s="86">
        <f>IF('Process Data Entry'!H10="","",'Process Data Entry'!H10)</f>
        <v>16</v>
      </c>
      <c r="Z8" s="86">
        <f>IF('Process Data Entry'!I10="",0,'Process Data Entry'!I10)</f>
        <v>0</v>
      </c>
      <c r="AA8" s="86">
        <f>IF('Process Data Entry'!J10="","",'Process Data Entry'!J10)</f>
        <v>3</v>
      </c>
      <c r="AB8" s="86">
        <f>IF('Process Data Entry'!K10="","",'Process Data Entry'!K10)</f>
        <v>1.5</v>
      </c>
      <c r="AC8" s="86">
        <f>IF('Process Data Entry'!L10="","",'Process Data Entry'!L10)</f>
        <v>10.5</v>
      </c>
      <c r="AD8" s="87">
        <f t="shared" si="0"/>
        <v>17.5</v>
      </c>
      <c r="AE8" s="87">
        <f t="shared" si="1"/>
        <v>8406.72</v>
      </c>
      <c r="AF8" s="150">
        <f>IF('Process Data Entry'!M10="","",'Process Data Entry'!M10)</f>
        <v>9.4</v>
      </c>
      <c r="AG8" s="150">
        <f>IF('Process Data Entry'!N10="","",'Process Data Entry'!N10)</f>
        <v>0.8</v>
      </c>
      <c r="AH8" s="81">
        <f t="shared" si="2"/>
        <v>4131.3024</v>
      </c>
    </row>
    <row r="9" spans="1:34" ht="15">
      <c r="A9" s="78">
        <v>1</v>
      </c>
      <c r="B9" s="79">
        <f>'Energy Data Entry'!B30</f>
        <v>42339</v>
      </c>
      <c r="C9" s="80">
        <f>IF(OR('Process Data Entry'!C11="",'Process Data Entry'!C11=0),"",'Process Data Entry'!C11)</f>
        <v>1.68</v>
      </c>
      <c r="D9" s="81">
        <f>IF(Table4[[#This Row],[Avg Daily Flow]]="","",_xlfn.DAYS(EOMONTH(B9,0),EOMONTH(B9,-1))*C9)</f>
        <v>52.08</v>
      </c>
      <c r="E9" s="81">
        <f>IF('Process Data Entry'!F11="","",'Process Data Entry'!F11)</f>
        <v>2924.13744</v>
      </c>
      <c r="F9" s="82">
        <f>IF(Table4[[#This Row],[BOD removed]]="","",Table4[[#This Row],[BOD removed]]*_xlfn.DAYS(EOMONTH(Table4[[#This Row],[Column2]],0),EOMONTH(Table4[[#This Row],[Column2]],-1)))</f>
        <v>90648.26064</v>
      </c>
      <c r="G9" s="83">
        <f>IF(SUM('Energy Data Entry'!C30,'Energy Data Entry'!H30,'Energy Data Entry'!M30,'Energy Data Entry'!R30,'Energy Data Entry'!W30)=0,"",SUM('Energy Data Entry'!C30,'Energy Data Entry'!H30,'Energy Data Entry'!M30,'Energy Data Entry'!R30,'Energy Data Entry'!W30))</f>
        <v>150198.72</v>
      </c>
      <c r="H9" s="83">
        <f>'Energy Data Entry'!AG30</f>
        <v>0</v>
      </c>
      <c r="I9" s="83">
        <f>IF(Table4[[#This Row],[Electric kWh usage]]="","",Table4[[#This Row],[Gas kWh usage]]+Table4[[#This Row],[Electric kWh usage]])</f>
        <v>150198.72</v>
      </c>
      <c r="J9" s="82">
        <f>IF(OR(Table4[[#This Row],[Electric kWh usage]]="",Table4[[#This Row],[Monthly Flow]]=""),"",(Table4[[#This Row],[Electric kWh usage]]+Table4[[#This Row],[Gas kWh usage]])/Table4[[#This Row],[Monthly Flow]])</f>
        <v>2884</v>
      </c>
      <c r="K9" s="84">
        <f>_xlfn.IFERROR(IF(Table4[[#This Row],[Electric kWh usage]]="","",(Table4[[#This Row],[Electric kWh usage]]+Table4[[#This Row],[Gas kWh usage]])/Table4[[#This Row],[Total BOD removed]]),"")</f>
        <v>1.6569399008823609</v>
      </c>
      <c r="L9" s="83">
        <f>IF('Energy Data Entry'!E30+'Energy Data Entry'!J30+'Energy Data Entry'!O30+'Energy Data Entry'!T30+'Energy Data Entry'!Y30=0,"",'Energy Data Entry'!E30+'Energy Data Entry'!J30+'Energy Data Entry'!O30+'Energy Data Entry'!T30+'Energy Data Entry'!Y30)</f>
        <v>273</v>
      </c>
      <c r="M9" s="83">
        <f>IF('Energy Data Entry'!F30+'Energy Data Entry'!K30+'Energy Data Entry'!P30++'Energy Data Entry'!U30+'Energy Data Entry'!Z30=0,"",'Energy Data Entry'!F30+'Energy Data Entry'!K30+'Energy Data Entry'!P30++'Energy Data Entry'!U30+'Energy Data Entry'!Z30)</f>
        <v>273</v>
      </c>
      <c r="N9" s="85">
        <f>IF('Energy Data Entry'!G30+'Energy Data Entry'!L30+'Energy Data Entry'!Q30+'Energy Data Entry'!V30+'Energy Data Entry'!AA30=0,"",'Energy Data Entry'!G30+'Energy Data Entry'!L30+'Energy Data Entry'!Q30+'Energy Data Entry'!V30+'Energy Data Entry'!AA30)</f>
        <v>3003</v>
      </c>
      <c r="O9" s="85">
        <f>IF('Energy Data Entry'!D30+'Energy Data Entry'!I30+'Energy Data Entry'!N30+'Energy Data Entry'!S30+'Energy Data Entry'!X30=0,"",'Energy Data Entry'!D30+'Energy Data Entry'!I30+'Energy Data Entry'!N30+'Energy Data Entry'!S30+'Energy Data Entry'!X30)</f>
        <v>12014.9232</v>
      </c>
      <c r="P9" s="403">
        <f>'Energy Data Entry'!AF30</f>
        <v>0</v>
      </c>
      <c r="Q9" s="151">
        <f>_xlfn.IFERROR(Table4[[#This Row],[Total electric cost]]/Table4[[#This Row],[Electric kWh usage]],"")</f>
        <v>0.07999351259451479</v>
      </c>
      <c r="R9" s="151">
        <f>_xlfn.IFERROR(Table4[[#This Row],[Electric Demand Cost]]/Table4[[#This Row],[Total Electric Demand (Billed)]],_xlfn.IFERROR(Table4[[#This Row],[Electric Demand Cost]]/Table4[[#This Row],[Total Electric Demand (Actual)]],""))</f>
        <v>11</v>
      </c>
      <c r="S9" s="85">
        <f>_xlfn.IFERROR(Table4[[#This Row],[Total Gas cost]]+Table4[[#This Row],[Total electric cost]],"")</f>
        <v>12014.9232</v>
      </c>
      <c r="T9" s="111"/>
      <c r="U9" s="85">
        <f>_xlfn.IFERROR(Table4[[#This Row],[Total Energy Cost]]/Table4[[#This Row],[Monthly Flow]],"")</f>
        <v>230.70129032258063</v>
      </c>
      <c r="V9" s="85">
        <f>_xlfn.IFERROR(Table4[[#This Row],[Total Energy Cost]]/Table4[[#This Row],[Total BOD removed]],"")</f>
        <v>0.13254444282958722</v>
      </c>
      <c r="W9" s="116"/>
      <c r="X9" s="86">
        <f>IF('Process Data Entry'!G11="","",'Process Data Entry'!G11)</f>
        <v>36</v>
      </c>
      <c r="Y9" s="86">
        <f>IF('Process Data Entry'!H11="","",'Process Data Entry'!H11)</f>
        <v>12</v>
      </c>
      <c r="Z9" s="86">
        <f>IF('Process Data Entry'!I11="",0,'Process Data Entry'!I11)</f>
        <v>0</v>
      </c>
      <c r="AA9" s="86">
        <f>IF('Process Data Entry'!J11="","",'Process Data Entry'!J11)</f>
        <v>3.3</v>
      </c>
      <c r="AB9" s="86">
        <f>IF('Process Data Entry'!K11="","",'Process Data Entry'!K11)</f>
        <v>1</v>
      </c>
      <c r="AC9" s="86">
        <f>IF('Process Data Entry'!L11="","",'Process Data Entry'!L11)</f>
        <v>13.2</v>
      </c>
      <c r="AD9" s="87">
        <f t="shared" si="0"/>
        <v>19.5</v>
      </c>
      <c r="AE9" s="87">
        <f t="shared" si="1"/>
        <v>8469.7704</v>
      </c>
      <c r="AF9" s="150">
        <f>IF('Process Data Entry'!M11="","",'Process Data Entry'!M11)</f>
        <v>7.2</v>
      </c>
      <c r="AG9" s="150">
        <f>IF('Process Data Entry'!N11="","",'Process Data Entry'!N11)</f>
        <v>1</v>
      </c>
      <c r="AH9" s="81">
        <f t="shared" si="2"/>
        <v>2692.95264</v>
      </c>
    </row>
    <row r="10" spans="1:34" ht="15">
      <c r="A10" s="78">
        <v>1</v>
      </c>
      <c r="B10" s="79">
        <f>'Energy Data Entry'!B31</f>
        <v>42370</v>
      </c>
      <c r="C10" s="80">
        <f>IF(OR('Process Data Entry'!C12="",'Process Data Entry'!C12=0),"",'Process Data Entry'!C12)</f>
        <v>2</v>
      </c>
      <c r="D10" s="81">
        <f>IF(Table4[[#This Row],[Avg Daily Flow]]="","",_xlfn.DAYS(EOMONTH(B10,0),EOMONTH(B10,-1))*C10)</f>
        <v>62</v>
      </c>
      <c r="E10" s="81">
        <f>IF('Process Data Entry'!F12="","",'Process Data Entry'!F12)</f>
        <v>2262.6420000000003</v>
      </c>
      <c r="F10" s="82">
        <f>IF(Table4[[#This Row],[BOD removed]]="","",Table4[[#This Row],[BOD removed]]*_xlfn.DAYS(EOMONTH(Table4[[#This Row],[Column2]],0),EOMONTH(Table4[[#This Row],[Column2]],-1)))</f>
        <v>70141.902</v>
      </c>
      <c r="G10" s="83">
        <f>IF(SUM('Energy Data Entry'!C31,'Energy Data Entry'!H31,'Energy Data Entry'!M31,'Energy Data Entry'!R31,'Energy Data Entry'!W31)=0,"",SUM('Energy Data Entry'!C31,'Energy Data Entry'!H31,'Energy Data Entry'!M31,'Energy Data Entry'!R31,'Energy Data Entry'!W31))</f>
        <v>186759.99999999997</v>
      </c>
      <c r="H10" s="83">
        <f>'Energy Data Entry'!AG31</f>
        <v>0</v>
      </c>
      <c r="I10" s="83">
        <f>IF(Table4[[#This Row],[Electric kWh usage]]="","",Table4[[#This Row],[Gas kWh usage]]+Table4[[#This Row],[Electric kWh usage]])</f>
        <v>186759.99999999997</v>
      </c>
      <c r="J10" s="82">
        <f>IF(OR(Table4[[#This Row],[Electric kWh usage]]="",Table4[[#This Row],[Monthly Flow]]=""),"",(Table4[[#This Row],[Electric kWh usage]]+Table4[[#This Row],[Gas kWh usage]])/Table4[[#This Row],[Monthly Flow]])</f>
        <v>3012.2580645161283</v>
      </c>
      <c r="K10" s="84">
        <f>_xlfn.IFERROR(IF(Table4[[#This Row],[Electric kWh usage]]="","",(Table4[[#This Row],[Electric kWh usage]]+Table4[[#This Row],[Gas kWh usage]])/Table4[[#This Row],[Total BOD removed]]),"")</f>
        <v>2.662602448390977</v>
      </c>
      <c r="L10" s="83">
        <f>IF('Energy Data Entry'!E31+'Energy Data Entry'!J31+'Energy Data Entry'!O31+'Energy Data Entry'!T31+'Energy Data Entry'!Y31=0,"",'Energy Data Entry'!E31+'Energy Data Entry'!J31+'Energy Data Entry'!O31+'Energy Data Entry'!T31+'Energy Data Entry'!Y31)</f>
        <v>373</v>
      </c>
      <c r="M10" s="83">
        <f>IF('Energy Data Entry'!F31+'Energy Data Entry'!K31+'Energy Data Entry'!P31++'Energy Data Entry'!U31+'Energy Data Entry'!Z31=0,"",'Energy Data Entry'!F31+'Energy Data Entry'!K31+'Energy Data Entry'!P31++'Energy Data Entry'!U31+'Energy Data Entry'!Z31)</f>
        <v>373</v>
      </c>
      <c r="N10" s="85">
        <f>IF('Energy Data Entry'!G31+'Energy Data Entry'!L31+'Energy Data Entry'!Q31+'Energy Data Entry'!V31+'Energy Data Entry'!AA31=0,"",'Energy Data Entry'!G31+'Energy Data Entry'!L31+'Energy Data Entry'!Q31+'Energy Data Entry'!V31+'Energy Data Entry'!AA31)</f>
        <v>4103</v>
      </c>
      <c r="O10" s="85">
        <f>IF('Energy Data Entry'!D31+'Energy Data Entry'!I31+'Energy Data Entry'!N31+'Energy Data Entry'!S31+'Energy Data Entry'!X31=0,"",'Energy Data Entry'!D31+'Energy Data Entry'!I31+'Energy Data Entry'!N31+'Energy Data Entry'!S31+'Energy Data Entry'!X31)</f>
        <v>15308.599999999999</v>
      </c>
      <c r="P10" s="403">
        <f>'Energy Data Entry'!AF31</f>
        <v>0</v>
      </c>
      <c r="Q10" s="151">
        <f>_xlfn.IFERROR(Table4[[#This Row],[Total electric cost]]/Table4[[#This Row],[Electric kWh usage]],"")</f>
        <v>0.08196937245662883</v>
      </c>
      <c r="R10" s="151">
        <f>_xlfn.IFERROR(Table4[[#This Row],[Electric Demand Cost]]/Table4[[#This Row],[Total Electric Demand (Billed)]],_xlfn.IFERROR(Table4[[#This Row],[Electric Demand Cost]]/Table4[[#This Row],[Total Electric Demand (Actual)]],""))</f>
        <v>11</v>
      </c>
      <c r="S10" s="85">
        <f>_xlfn.IFERROR(Table4[[#This Row],[Total Gas cost]]+Table4[[#This Row],[Total electric cost]],"")</f>
        <v>15308.599999999999</v>
      </c>
      <c r="T10" s="111"/>
      <c r="U10" s="85">
        <f>_xlfn.IFERROR(Table4[[#This Row],[Total Energy Cost]]/Table4[[#This Row],[Monthly Flow]],"")</f>
        <v>246.91290322580642</v>
      </c>
      <c r="V10" s="85">
        <f>_xlfn.IFERROR(Table4[[#This Row],[Total Energy Cost]]/Table4[[#This Row],[Total BOD removed]],"")</f>
        <v>0.21825185179609186</v>
      </c>
      <c r="W10" s="116"/>
      <c r="X10" s="86">
        <f>IF('Process Data Entry'!G12="","",'Process Data Entry'!G12)</f>
        <v>32</v>
      </c>
      <c r="Y10" s="86">
        <f>IF('Process Data Entry'!H12="","",'Process Data Entry'!H12)</f>
        <v>12</v>
      </c>
      <c r="Z10" s="86">
        <f>IF('Process Data Entry'!I12="",0,'Process Data Entry'!I12)</f>
        <v>0</v>
      </c>
      <c r="AA10" s="86">
        <f>IF('Process Data Entry'!J12="","",'Process Data Entry'!J12)</f>
        <v>2.9</v>
      </c>
      <c r="AB10" s="86">
        <f>IF('Process Data Entry'!K12="","",'Process Data Entry'!K12)</f>
        <v>1.5</v>
      </c>
      <c r="AC10" s="86">
        <f>IF('Process Data Entry'!L12="","",'Process Data Entry'!L12)</f>
        <v>10.2</v>
      </c>
      <c r="AD10" s="87">
        <f t="shared" si="0"/>
        <v>18.9</v>
      </c>
      <c r="AE10" s="87">
        <f t="shared" si="1"/>
        <v>9772.812</v>
      </c>
      <c r="AF10" s="150">
        <f>IF('Process Data Entry'!M12="","",'Process Data Entry'!M12)</f>
        <v>8.6</v>
      </c>
      <c r="AG10" s="150">
        <f>IF('Process Data Entry'!N12="","",'Process Data Entry'!N12)</f>
        <v>0.7</v>
      </c>
      <c r="AH10" s="81">
        <f t="shared" si="2"/>
        <v>4084.9320000000002</v>
      </c>
    </row>
    <row r="11" spans="1:34" ht="15">
      <c r="A11" s="78">
        <v>1</v>
      </c>
      <c r="B11" s="79">
        <f>'Energy Data Entry'!B32</f>
        <v>42401</v>
      </c>
      <c r="C11" s="80">
        <f>IF(OR('Process Data Entry'!C13="",'Process Data Entry'!C13=0),"",'Process Data Entry'!C13)</f>
        <v>1.8</v>
      </c>
      <c r="D11" s="81">
        <f>IF(Table4[[#This Row],[Avg Daily Flow]]="","",_xlfn.DAYS(EOMONTH(B11,0),EOMONTH(B11,-1))*C11)</f>
        <v>52.2</v>
      </c>
      <c r="E11" s="81">
        <f>IF('Process Data Entry'!F13="","",'Process Data Entry'!F13)</f>
        <v>2339.6202</v>
      </c>
      <c r="F11" s="82">
        <f>IF(Table4[[#This Row],[BOD removed]]="","",Table4[[#This Row],[BOD removed]]*_xlfn.DAYS(EOMONTH(Table4[[#This Row],[Column2]],0),EOMONTH(Table4[[#This Row],[Column2]],-1)))</f>
        <v>67848.9858</v>
      </c>
      <c r="G11" s="83">
        <f>IF(SUM('Energy Data Entry'!C32,'Energy Data Entry'!H32,'Energy Data Entry'!M32,'Energy Data Entry'!R32,'Energy Data Entry'!W32)=0,"",SUM('Energy Data Entry'!C32,'Energy Data Entry'!H32,'Energy Data Entry'!M32,'Energy Data Entry'!R32,'Energy Data Entry'!W32))</f>
        <v>134366.4</v>
      </c>
      <c r="H11" s="83">
        <f>'Energy Data Entry'!AG32</f>
        <v>0</v>
      </c>
      <c r="I11" s="83">
        <f>IF(Table4[[#This Row],[Electric kWh usage]]="","",Table4[[#This Row],[Gas kWh usage]]+Table4[[#This Row],[Electric kWh usage]])</f>
        <v>134366.4</v>
      </c>
      <c r="J11" s="82">
        <f>IF(OR(Table4[[#This Row],[Electric kWh usage]]="",Table4[[#This Row],[Monthly Flow]]=""),"",(Table4[[#This Row],[Electric kWh usage]]+Table4[[#This Row],[Gas kWh usage]])/Table4[[#This Row],[Monthly Flow]])</f>
        <v>2574.068965517241</v>
      </c>
      <c r="K11" s="84">
        <f>_xlfn.IFERROR(IF(Table4[[#This Row],[Electric kWh usage]]="","",(Table4[[#This Row],[Electric kWh usage]]+Table4[[#This Row],[Gas kWh usage]])/Table4[[#This Row],[Total BOD removed]]),"")</f>
        <v>1.9803744804096983</v>
      </c>
      <c r="L11" s="83">
        <f>IF('Energy Data Entry'!E32+'Energy Data Entry'!J32+'Energy Data Entry'!O32+'Energy Data Entry'!T32+'Energy Data Entry'!Y32=0,"",'Energy Data Entry'!E32+'Energy Data Entry'!J32+'Energy Data Entry'!O32+'Energy Data Entry'!T32+'Energy Data Entry'!Y32)</f>
        <v>251</v>
      </c>
      <c r="M11" s="83">
        <f>IF('Energy Data Entry'!F32+'Energy Data Entry'!K32+'Energy Data Entry'!P32++'Energy Data Entry'!U32+'Energy Data Entry'!Z32=0,"",'Energy Data Entry'!F32+'Energy Data Entry'!K32+'Energy Data Entry'!P32++'Energy Data Entry'!U32+'Energy Data Entry'!Z32)</f>
        <v>251</v>
      </c>
      <c r="N11" s="85">
        <f>IF('Energy Data Entry'!G32+'Energy Data Entry'!L32+'Energy Data Entry'!Q32+'Energy Data Entry'!V32+'Energy Data Entry'!AA32=0,"",'Energy Data Entry'!G32+'Energy Data Entry'!L32+'Energy Data Entry'!Q32+'Energy Data Entry'!V32+'Energy Data Entry'!AA32)</f>
        <v>2761</v>
      </c>
      <c r="O11" s="85">
        <f>IF('Energy Data Entry'!D32+'Energy Data Entry'!I32+'Energy Data Entry'!N32+'Energy Data Entry'!S32+'Energy Data Entry'!X32=0,"",'Energy Data Entry'!D32+'Energy Data Entry'!I32+'Energy Data Entry'!N32+'Energy Data Entry'!S32+'Energy Data Entry'!X32)</f>
        <v>10822.984</v>
      </c>
      <c r="P11" s="403">
        <f>'Energy Data Entry'!AF32</f>
        <v>0</v>
      </c>
      <c r="Q11" s="151">
        <f>_xlfn.IFERROR(Table4[[#This Row],[Total electric cost]]/Table4[[#This Row],[Electric kWh usage]],"")</f>
        <v>0.08054829183486348</v>
      </c>
      <c r="R11" s="151">
        <f>_xlfn.IFERROR(Table4[[#This Row],[Electric Demand Cost]]/Table4[[#This Row],[Total Electric Demand (Billed)]],_xlfn.IFERROR(Table4[[#This Row],[Electric Demand Cost]]/Table4[[#This Row],[Total Electric Demand (Actual)]],""))</f>
        <v>11</v>
      </c>
      <c r="S11" s="85">
        <f>_xlfn.IFERROR(Table4[[#This Row],[Total Gas cost]]+Table4[[#This Row],[Total electric cost]],"")</f>
        <v>10822.984</v>
      </c>
      <c r="T11" s="111"/>
      <c r="U11" s="85">
        <f>_xlfn.IFERROR(Table4[[#This Row],[Total Energy Cost]]/Table4[[#This Row],[Monthly Flow]],"")</f>
        <v>207.3368582375479</v>
      </c>
      <c r="V11" s="85">
        <f>_xlfn.IFERROR(Table4[[#This Row],[Total Energy Cost]]/Table4[[#This Row],[Total BOD removed]],"")</f>
        <v>0.15951578159035654</v>
      </c>
      <c r="W11" s="116"/>
      <c r="X11" s="86">
        <f>IF('Process Data Entry'!G13="","",'Process Data Entry'!G13)</f>
        <v>36</v>
      </c>
      <c r="Y11" s="86">
        <f>IF('Process Data Entry'!H13="","",'Process Data Entry'!H13)</f>
        <v>17</v>
      </c>
      <c r="Z11" s="86">
        <f>IF('Process Data Entry'!I13="",0,'Process Data Entry'!I13)</f>
        <v>0</v>
      </c>
      <c r="AA11" s="86">
        <f>IF('Process Data Entry'!J13="","",'Process Data Entry'!J13)</f>
        <v>2.9</v>
      </c>
      <c r="AB11" s="86">
        <f>IF('Process Data Entry'!K13="","",'Process Data Entry'!K13)</f>
        <v>1</v>
      </c>
      <c r="AC11" s="86">
        <f>IF('Process Data Entry'!L13="","",'Process Data Entry'!L13)</f>
        <v>15.6</v>
      </c>
      <c r="AD11" s="87">
        <f t="shared" si="0"/>
        <v>17.5</v>
      </c>
      <c r="AE11" s="87">
        <f t="shared" si="1"/>
        <v>7618.59</v>
      </c>
      <c r="AF11" s="150">
        <f>IF('Process Data Entry'!M13="","",'Process Data Entry'!M13)</f>
        <v>9.2</v>
      </c>
      <c r="AG11" s="150">
        <f>IF('Process Data Entry'!N13="","",'Process Data Entry'!N13)</f>
        <v>0.8</v>
      </c>
      <c r="AH11" s="81">
        <f t="shared" si="2"/>
        <v>3656.9231999999993</v>
      </c>
    </row>
    <row r="12" spans="1:34" ht="15">
      <c r="A12" s="78">
        <v>1</v>
      </c>
      <c r="B12" s="79">
        <f>'Energy Data Entry'!B33</f>
        <v>42430</v>
      </c>
      <c r="C12" s="80">
        <f>IF(OR('Process Data Entry'!C14="",'Process Data Entry'!C14=0),"",'Process Data Entry'!C14)</f>
        <v>2.18</v>
      </c>
      <c r="D12" s="81">
        <f>IF(Table4[[#This Row],[Avg Daily Flow]]="","",_xlfn.DAYS(EOMONTH(B12,0),EOMONTH(B12,-1))*C12)</f>
        <v>67.58</v>
      </c>
      <c r="E12" s="81">
        <f>IF('Process Data Entry'!F14="","",'Process Data Entry'!F14)</f>
        <v>2408.0999400000005</v>
      </c>
      <c r="F12" s="82">
        <f>IF(Table4[[#This Row],[BOD removed]]="","",Table4[[#This Row],[BOD removed]]*_xlfn.DAYS(EOMONTH(Table4[[#This Row],[Column2]],0),EOMONTH(Table4[[#This Row],[Column2]],-1)))</f>
        <v>74651.09814000002</v>
      </c>
      <c r="G12" s="83">
        <f>IF(SUM('Energy Data Entry'!C33,'Energy Data Entry'!H33,'Energy Data Entry'!M33,'Energy Data Entry'!R33,'Energy Data Entry'!W33)=0,"",SUM('Energy Data Entry'!C33,'Energy Data Entry'!H33,'Energy Data Entry'!M33,'Energy Data Entry'!R33,'Energy Data Entry'!W33))</f>
        <v>183120.00000000003</v>
      </c>
      <c r="H12" s="83">
        <f>'Energy Data Entry'!AG33</f>
        <v>0</v>
      </c>
      <c r="I12" s="83">
        <f>IF(Table4[[#This Row],[Electric kWh usage]]="","",Table4[[#This Row],[Gas kWh usage]]+Table4[[#This Row],[Electric kWh usage]])</f>
        <v>183120.00000000003</v>
      </c>
      <c r="J12" s="82">
        <f>IF(OR(Table4[[#This Row],[Electric kWh usage]]="",Table4[[#This Row],[Monthly Flow]]=""),"",(Table4[[#This Row],[Electric kWh usage]]+Table4[[#This Row],[Gas kWh usage]])/Table4[[#This Row],[Monthly Flow]])</f>
        <v>2709.677419354839</v>
      </c>
      <c r="K12" s="84">
        <f>_xlfn.IFERROR(IF(Table4[[#This Row],[Electric kWh usage]]="","",(Table4[[#This Row],[Electric kWh usage]]+Table4[[#This Row],[Gas kWh usage]])/Table4[[#This Row],[Total BOD removed]]),"")</f>
        <v>2.453011470194027</v>
      </c>
      <c r="L12" s="83">
        <f>IF('Energy Data Entry'!E33+'Energy Data Entry'!J33+'Energy Data Entry'!O33+'Energy Data Entry'!T33+'Energy Data Entry'!Y33=0,"",'Energy Data Entry'!E33+'Energy Data Entry'!J33+'Energy Data Entry'!O33+'Energy Data Entry'!T33+'Energy Data Entry'!Y33)</f>
        <v>322</v>
      </c>
      <c r="M12" s="83">
        <f>IF('Energy Data Entry'!F33+'Energy Data Entry'!K33+'Energy Data Entry'!P33++'Energy Data Entry'!U33+'Energy Data Entry'!Z33=0,"",'Energy Data Entry'!F33+'Energy Data Entry'!K33+'Energy Data Entry'!P33++'Energy Data Entry'!U33+'Energy Data Entry'!Z33)</f>
        <v>322</v>
      </c>
      <c r="N12" s="85">
        <f>IF('Energy Data Entry'!G33+'Energy Data Entry'!L33+'Energy Data Entry'!Q33+'Energy Data Entry'!V33+'Energy Data Entry'!AA33=0,"",'Energy Data Entry'!G33+'Energy Data Entry'!L33+'Energy Data Entry'!Q33+'Energy Data Entry'!V33+'Energy Data Entry'!AA33)</f>
        <v>3542</v>
      </c>
      <c r="O12" s="85">
        <f>IF('Energy Data Entry'!D33+'Energy Data Entry'!I33+'Energy Data Entry'!N33+'Energy Data Entry'!S33+'Energy Data Entry'!X33=0,"",'Energy Data Entry'!D33+'Energy Data Entry'!I33+'Energy Data Entry'!N33+'Energy Data Entry'!S33+'Energy Data Entry'!X33)</f>
        <v>14529.2</v>
      </c>
      <c r="P12" s="403">
        <f>'Energy Data Entry'!AF33</f>
        <v>0</v>
      </c>
      <c r="Q12" s="151">
        <f>_xlfn.IFERROR(Table4[[#This Row],[Total electric cost]]/Table4[[#This Row],[Electric kWh usage]],"")</f>
        <v>0.07934250764525994</v>
      </c>
      <c r="R12" s="151">
        <f>_xlfn.IFERROR(Table4[[#This Row],[Electric Demand Cost]]/Table4[[#This Row],[Total Electric Demand (Billed)]],_xlfn.IFERROR(Table4[[#This Row],[Electric Demand Cost]]/Table4[[#This Row],[Total Electric Demand (Actual)]],""))</f>
        <v>11</v>
      </c>
      <c r="S12" s="85">
        <f>_xlfn.IFERROR(Table4[[#This Row],[Total Gas cost]]+Table4[[#This Row],[Total electric cost]],"")</f>
        <v>14529.2</v>
      </c>
      <c r="T12" s="111"/>
      <c r="U12" s="85">
        <f>_xlfn.IFERROR(Table4[[#This Row],[Total Energy Cost]]/Table4[[#This Row],[Monthly Flow]],"")</f>
        <v>214.99260136134953</v>
      </c>
      <c r="V12" s="85">
        <f>_xlfn.IFERROR(Table4[[#This Row],[Total Energy Cost]]/Table4[[#This Row],[Total BOD removed]],"")</f>
        <v>0.1946280813277799</v>
      </c>
      <c r="W12" s="116"/>
      <c r="X12" s="86">
        <f>IF('Process Data Entry'!G14="","",'Process Data Entry'!G14)</f>
        <v>31</v>
      </c>
      <c r="Y12" s="86">
        <f>IF('Process Data Entry'!H14="","",'Process Data Entry'!H14)</f>
        <v>12</v>
      </c>
      <c r="Z12" s="86">
        <f>IF('Process Data Entry'!I14="",0,'Process Data Entry'!I14)</f>
        <v>0</v>
      </c>
      <c r="AA12" s="86">
        <f>IF('Process Data Entry'!J14="","",'Process Data Entry'!J14)</f>
        <v>2.9</v>
      </c>
      <c r="AB12" s="86">
        <f>IF('Process Data Entry'!K14="","",'Process Data Entry'!K14)</f>
        <v>1.1</v>
      </c>
      <c r="AC12" s="86">
        <f>IF('Process Data Entry'!L14="","",'Process Data Entry'!L14)</f>
        <v>20.4</v>
      </c>
      <c r="AD12" s="87">
        <f t="shared" si="0"/>
        <v>7.700000000000003</v>
      </c>
      <c r="AE12" s="87">
        <f t="shared" si="1"/>
        <v>4339.8524400000015</v>
      </c>
      <c r="AF12" s="150">
        <f>IF('Process Data Entry'!M14="","",'Process Data Entry'!M14)</f>
        <v>9</v>
      </c>
      <c r="AG12" s="150">
        <f>IF('Process Data Entry'!N14="","",'Process Data Entry'!N14)</f>
        <v>0.6</v>
      </c>
      <c r="AH12" s="81">
        <f t="shared" si="2"/>
        <v>4734.384480000001</v>
      </c>
    </row>
    <row r="13" spans="1:34" ht="15">
      <c r="A13" s="78">
        <v>1</v>
      </c>
      <c r="B13" s="79">
        <f>'Energy Data Entry'!B34</f>
        <v>42461</v>
      </c>
      <c r="C13" s="80">
        <f>IF(OR('Process Data Entry'!C15="",'Process Data Entry'!C15=0),"",'Process Data Entry'!C15)</f>
        <v>1.52</v>
      </c>
      <c r="D13" s="81">
        <f>IF(Table4[[#This Row],[Avg Daily Flow]]="","",_xlfn.DAYS(EOMONTH(B13,0),EOMONTH(B13,-1))*C13)</f>
        <v>45.6</v>
      </c>
      <c r="E13" s="81">
        <f>IF('Process Data Entry'!F15="","",'Process Data Entry'!F15)</f>
        <v>2398.4505599999998</v>
      </c>
      <c r="F13" s="82">
        <f>IF(Table4[[#This Row],[BOD removed]]="","",Table4[[#This Row],[BOD removed]]*_xlfn.DAYS(EOMONTH(Table4[[#This Row],[Column2]],0),EOMONTH(Table4[[#This Row],[Column2]],-1)))</f>
        <v>71953.5168</v>
      </c>
      <c r="G13" s="83">
        <f>IF(SUM('Energy Data Entry'!C34,'Energy Data Entry'!H34,'Energy Data Entry'!M34,'Energy Data Entry'!R34,'Energy Data Entry'!W34)=0,"",SUM('Energy Data Entry'!C34,'Energy Data Entry'!H34,'Energy Data Entry'!M34,'Energy Data Entry'!R34,'Energy Data Entry'!W34))</f>
        <v>147768.32</v>
      </c>
      <c r="H13" s="83">
        <f>'Energy Data Entry'!AG34</f>
        <v>0</v>
      </c>
      <c r="I13" s="83">
        <f>IF(Table4[[#This Row],[Electric kWh usage]]="","",Table4[[#This Row],[Gas kWh usage]]+Table4[[#This Row],[Electric kWh usage]])</f>
        <v>147768.32</v>
      </c>
      <c r="J13" s="82">
        <f>IF(OR(Table4[[#This Row],[Electric kWh usage]]="",Table4[[#This Row],[Monthly Flow]]=""),"",(Table4[[#This Row],[Electric kWh usage]]+Table4[[#This Row],[Gas kWh usage]])/Table4[[#This Row],[Monthly Flow]])</f>
        <v>3240.5333333333333</v>
      </c>
      <c r="K13" s="84">
        <f>_xlfn.IFERROR(IF(Table4[[#This Row],[Electric kWh usage]]="","",(Table4[[#This Row],[Electric kWh usage]]+Table4[[#This Row],[Gas kWh usage]])/Table4[[#This Row],[Total BOD removed]]),"")</f>
        <v>2.053663623012795</v>
      </c>
      <c r="L13" s="83">
        <f>IF('Energy Data Entry'!E34+'Energy Data Entry'!J34+'Energy Data Entry'!O34+'Energy Data Entry'!T34+'Energy Data Entry'!Y34=0,"",'Energy Data Entry'!E34+'Energy Data Entry'!J34+'Energy Data Entry'!O34+'Energy Data Entry'!T34+'Energy Data Entry'!Y34)</f>
        <v>272</v>
      </c>
      <c r="M13" s="83">
        <f>IF('Energy Data Entry'!F34+'Energy Data Entry'!K34+'Energy Data Entry'!P34++'Energy Data Entry'!U34+'Energy Data Entry'!Z34=0,"",'Energy Data Entry'!F34+'Energy Data Entry'!K34+'Energy Data Entry'!P34++'Energy Data Entry'!U34+'Energy Data Entry'!Z34)</f>
        <v>272</v>
      </c>
      <c r="N13" s="85">
        <f>IF('Energy Data Entry'!G34+'Energy Data Entry'!L34+'Energy Data Entry'!Q34+'Energy Data Entry'!V34+'Energy Data Entry'!AA34=0,"",'Energy Data Entry'!G34+'Energy Data Entry'!L34+'Energy Data Entry'!Q34+'Energy Data Entry'!V34+'Energy Data Entry'!AA34)</f>
        <v>2992</v>
      </c>
      <c r="O13" s="85">
        <f>IF('Energy Data Entry'!D34+'Energy Data Entry'!I34+'Energy Data Entry'!N34+'Energy Data Entry'!S34+'Energy Data Entry'!X34=0,"",'Energy Data Entry'!D34+'Energy Data Entry'!I34+'Energy Data Entry'!N34+'Energy Data Entry'!S34+'Energy Data Entry'!X34)</f>
        <v>11858.0992</v>
      </c>
      <c r="P13" s="403">
        <f>'Energy Data Entry'!AF34</f>
        <v>0</v>
      </c>
      <c r="Q13" s="151">
        <f>_xlfn.IFERROR(Table4[[#This Row],[Total electric cost]]/Table4[[#This Row],[Electric kWh usage]],"")</f>
        <v>0.08024791240774748</v>
      </c>
      <c r="R13" s="151">
        <f>_xlfn.IFERROR(Table4[[#This Row],[Electric Demand Cost]]/Table4[[#This Row],[Total Electric Demand (Billed)]],_xlfn.IFERROR(Table4[[#This Row],[Electric Demand Cost]]/Table4[[#This Row],[Total Electric Demand (Actual)]],""))</f>
        <v>11</v>
      </c>
      <c r="S13" s="85">
        <f>_xlfn.IFERROR(Table4[[#This Row],[Total Gas cost]]+Table4[[#This Row],[Total electric cost]],"")</f>
        <v>11858.0992</v>
      </c>
      <c r="T13" s="111"/>
      <c r="U13" s="85">
        <f>_xlfn.IFERROR(Table4[[#This Row],[Total Energy Cost]]/Table4[[#This Row],[Monthly Flow]],"")</f>
        <v>260.0460350877193</v>
      </c>
      <c r="V13" s="85">
        <f>_xlfn.IFERROR(Table4[[#This Row],[Total Energy Cost]]/Table4[[#This Row],[Total BOD removed]],"")</f>
        <v>0.1648022185345081</v>
      </c>
      <c r="W13" s="116"/>
      <c r="X13" s="86">
        <f>IF('Process Data Entry'!G15="","",'Process Data Entry'!G15)</f>
        <v>40</v>
      </c>
      <c r="Y13" s="86">
        <f>IF('Process Data Entry'!H15="","",'Process Data Entry'!H15)</f>
        <v>15</v>
      </c>
      <c r="Z13" s="86">
        <f>IF('Process Data Entry'!I15="",0,'Process Data Entry'!I15)</f>
        <v>0</v>
      </c>
      <c r="AA13" s="86">
        <f>IF('Process Data Entry'!J15="","",'Process Data Entry'!J15)</f>
        <v>2.9</v>
      </c>
      <c r="AB13" s="86">
        <f>IF('Process Data Entry'!K15="","",'Process Data Entry'!K15)</f>
        <v>1.6</v>
      </c>
      <c r="AC13" s="86">
        <f>IF('Process Data Entry'!L15="","",'Process Data Entry'!L15)</f>
        <v>19.4</v>
      </c>
      <c r="AD13" s="87">
        <f t="shared" si="0"/>
        <v>17.700000000000003</v>
      </c>
      <c r="AE13" s="87">
        <f t="shared" si="1"/>
        <v>6731.380800000001</v>
      </c>
      <c r="AF13" s="150">
        <f>IF('Process Data Entry'!M15="","",'Process Data Entry'!M15)</f>
        <v>7.6</v>
      </c>
      <c r="AG13" s="150">
        <f>IF('Process Data Entry'!N15="","",'Process Data Entry'!N15)</f>
        <v>1.5</v>
      </c>
      <c r="AH13" s="81">
        <f t="shared" si="2"/>
        <v>2319.8544</v>
      </c>
    </row>
    <row r="14" spans="1:34" ht="15">
      <c r="A14" s="78">
        <v>1</v>
      </c>
      <c r="B14" s="79">
        <f>'Energy Data Entry'!B35</f>
        <v>42491</v>
      </c>
      <c r="C14" s="80">
        <f>IF(OR('Process Data Entry'!C16="",'Process Data Entry'!C16=0),"",'Process Data Entry'!C16)</f>
        <v>2.14</v>
      </c>
      <c r="D14" s="81">
        <f>IF(Table4[[#This Row],[Avg Daily Flow]]="","",_xlfn.DAYS(EOMONTH(B14,0),EOMONTH(B14,-1))*C14)</f>
        <v>66.34</v>
      </c>
      <c r="E14" s="81">
        <f>IF('Process Data Entry'!F16="","",'Process Data Entry'!F16)</f>
        <v>2926.11402</v>
      </c>
      <c r="F14" s="82">
        <f>IF(Table4[[#This Row],[BOD removed]]="","",Table4[[#This Row],[BOD removed]]*_xlfn.DAYS(EOMONTH(Table4[[#This Row],[Column2]],0),EOMONTH(Table4[[#This Row],[Column2]],-1)))</f>
        <v>90709.53462</v>
      </c>
      <c r="G14" s="83">
        <f>IF(SUM('Energy Data Entry'!C35,'Energy Data Entry'!H35,'Energy Data Entry'!M35,'Energy Data Entry'!R35,'Energy Data Entry'!W35)=0,"",SUM('Energy Data Entry'!C35,'Energy Data Entry'!H35,'Energy Data Entry'!M35,'Energy Data Entry'!R35,'Energy Data Entry'!W35))</f>
        <v>199533.60000000003</v>
      </c>
      <c r="H14" s="83">
        <f>'Energy Data Entry'!AG35</f>
        <v>0</v>
      </c>
      <c r="I14" s="83">
        <f>IF(Table4[[#This Row],[Electric kWh usage]]="","",Table4[[#This Row],[Gas kWh usage]]+Table4[[#This Row],[Electric kWh usage]])</f>
        <v>199533.60000000003</v>
      </c>
      <c r="J14" s="82">
        <f>IF(OR(Table4[[#This Row],[Electric kWh usage]]="",Table4[[#This Row],[Monthly Flow]]=""),"",(Table4[[#This Row],[Electric kWh usage]]+Table4[[#This Row],[Gas kWh usage]])/Table4[[#This Row],[Monthly Flow]])</f>
        <v>3007.741935483871</v>
      </c>
      <c r="K14" s="84">
        <f>_xlfn.IFERROR(IF(Table4[[#This Row],[Electric kWh usage]]="","",(Table4[[#This Row],[Electric kWh usage]]+Table4[[#This Row],[Gas kWh usage]])/Table4[[#This Row],[Total BOD removed]]),"")</f>
        <v>2.1996981997083918</v>
      </c>
      <c r="L14" s="83">
        <f>IF('Energy Data Entry'!E35+'Energy Data Entry'!J35+'Energy Data Entry'!O35+'Energy Data Entry'!T35+'Energy Data Entry'!Y35=0,"",'Energy Data Entry'!E35+'Energy Data Entry'!J35+'Energy Data Entry'!O35+'Energy Data Entry'!T35+'Energy Data Entry'!Y35)</f>
        <v>351</v>
      </c>
      <c r="M14" s="83">
        <f>IF('Energy Data Entry'!F35+'Energy Data Entry'!K35+'Energy Data Entry'!P35++'Energy Data Entry'!U35+'Energy Data Entry'!Z35=0,"",'Energy Data Entry'!F35+'Energy Data Entry'!K35+'Energy Data Entry'!P35++'Energy Data Entry'!U35+'Energy Data Entry'!Z35)</f>
        <v>351</v>
      </c>
      <c r="N14" s="85">
        <f>IF('Energy Data Entry'!G35+'Energy Data Entry'!L35+'Energy Data Entry'!Q35+'Energy Data Entry'!V35+'Energy Data Entry'!AA35=0,"",'Energy Data Entry'!G35+'Energy Data Entry'!L35+'Energy Data Entry'!Q35+'Energy Data Entry'!V35+'Energy Data Entry'!AA35)</f>
        <v>3861</v>
      </c>
      <c r="O14" s="85">
        <f>IF('Energy Data Entry'!D35+'Energy Data Entry'!I35+'Energy Data Entry'!N35+'Energy Data Entry'!S35+'Energy Data Entry'!X35=0,"",'Energy Data Entry'!D35+'Energy Data Entry'!I35+'Energy Data Entry'!N35+'Energy Data Entry'!S35+'Energy Data Entry'!X35)</f>
        <v>15833.016000000001</v>
      </c>
      <c r="P14" s="403">
        <f>'Energy Data Entry'!AF35</f>
        <v>0</v>
      </c>
      <c r="Q14" s="151">
        <f>_xlfn.IFERROR(Table4[[#This Row],[Total electric cost]]/Table4[[#This Row],[Electric kWh usage]],"")</f>
        <v>0.0793501244903114</v>
      </c>
      <c r="R14" s="151">
        <f>_xlfn.IFERROR(Table4[[#This Row],[Electric Demand Cost]]/Table4[[#This Row],[Total Electric Demand (Billed)]],_xlfn.IFERROR(Table4[[#This Row],[Electric Demand Cost]]/Table4[[#This Row],[Total Electric Demand (Actual)]],""))</f>
        <v>11</v>
      </c>
      <c r="S14" s="85">
        <f>_xlfn.IFERROR(Table4[[#This Row],[Total Gas cost]]+Table4[[#This Row],[Total electric cost]],"")</f>
        <v>15833.016000000001</v>
      </c>
      <c r="T14" s="111"/>
      <c r="U14" s="85">
        <f>_xlfn.IFERROR(Table4[[#This Row],[Total Energy Cost]]/Table4[[#This Row],[Monthly Flow]],"")</f>
        <v>238.66469701537534</v>
      </c>
      <c r="V14" s="85">
        <f>_xlfn.IFERROR(Table4[[#This Row],[Total Energy Cost]]/Table4[[#This Row],[Total BOD removed]],"")</f>
        <v>0.17454632598797473</v>
      </c>
      <c r="W14" s="116"/>
      <c r="X14" s="86">
        <f>IF('Process Data Entry'!G16="","",'Process Data Entry'!G16)</f>
        <v>34</v>
      </c>
      <c r="Y14" s="86">
        <f>IF('Process Data Entry'!H16="","",'Process Data Entry'!H16)</f>
        <v>11</v>
      </c>
      <c r="Z14" s="86">
        <f>IF('Process Data Entry'!I16="",0,'Process Data Entry'!I16)</f>
        <v>0</v>
      </c>
      <c r="AA14" s="86">
        <f>IF('Process Data Entry'!J16="","",'Process Data Entry'!J16)</f>
        <v>2.7</v>
      </c>
      <c r="AB14" s="86">
        <f>IF('Process Data Entry'!K16="","",'Process Data Entry'!K16)</f>
        <v>0.8</v>
      </c>
      <c r="AC14" s="86">
        <f>IF('Process Data Entry'!L16="","",'Process Data Entry'!L16)</f>
        <v>13.8</v>
      </c>
      <c r="AD14" s="87">
        <f t="shared" si="0"/>
        <v>17.5</v>
      </c>
      <c r="AE14" s="87">
        <f t="shared" si="1"/>
        <v>9682.323</v>
      </c>
      <c r="AF14" s="150">
        <f>IF('Process Data Entry'!M16="","",'Process Data Entry'!M16)</f>
        <v>7.2</v>
      </c>
      <c r="AG14" s="150">
        <f>IF('Process Data Entry'!N16="","",'Process Data Entry'!N16)</f>
        <v>1.3</v>
      </c>
      <c r="AH14" s="81">
        <f t="shared" si="2"/>
        <v>3264.3260400000004</v>
      </c>
    </row>
    <row r="15" spans="1:34" s="105" customFormat="1" ht="15" thickBot="1">
      <c r="A15" s="97">
        <v>1</v>
      </c>
      <c r="B15" s="98">
        <f>'Energy Data Entry'!B36</f>
        <v>42522</v>
      </c>
      <c r="C15" s="355">
        <f>IF(OR('Process Data Entry'!C17="",'Process Data Entry'!C17=0),"",'Process Data Entry'!C17)</f>
        <v>2.2</v>
      </c>
      <c r="D15" s="99">
        <f>IF(Table4[[#This Row],[Avg Daily Flow]]="","",_xlfn.DAYS(EOMONTH(B15,0),EOMONTH(B15,-1))*C15)</f>
        <v>66</v>
      </c>
      <c r="E15" s="99">
        <f>IF('Process Data Entry'!F17="","",'Process Data Entry'!F17)</f>
        <v>2493.4932</v>
      </c>
      <c r="F15" s="100">
        <f>IF(Table4[[#This Row],[BOD removed]]="","",Table4[[#This Row],[BOD removed]]*_xlfn.DAYS(EOMONTH(Table4[[#This Row],[Column2]],0),EOMONTH(Table4[[#This Row],[Column2]],-1)))</f>
        <v>74804.796</v>
      </c>
      <c r="G15" s="101">
        <f>IF(SUM('Energy Data Entry'!C36,'Energy Data Entry'!H36,'Energy Data Entry'!M36,'Energy Data Entry'!R36,'Energy Data Entry'!W36)=0,"",SUM('Energy Data Entry'!C36,'Energy Data Entry'!H36,'Energy Data Entry'!M36,'Energy Data Entry'!R36,'Energy Data Entry'!W36))</f>
        <v>215784.80000000002</v>
      </c>
      <c r="H15" s="101">
        <f>'Energy Data Entry'!AG36</f>
        <v>0</v>
      </c>
      <c r="I15" s="101">
        <f>IF(Table4[[#This Row],[Electric kWh usage]]="","",Table4[[#This Row],[Gas kWh usage]]+Table4[[#This Row],[Electric kWh usage]])</f>
        <v>215784.80000000002</v>
      </c>
      <c r="J15" s="100">
        <f>IF(OR(Table4[[#This Row],[Electric kWh usage]]="",Table4[[#This Row],[Monthly Flow]]=""),"",(Table4[[#This Row],[Electric kWh usage]]+Table4[[#This Row],[Gas kWh usage]])/Table4[[#This Row],[Monthly Flow]])</f>
        <v>3269.466666666667</v>
      </c>
      <c r="K15" s="102">
        <f>_xlfn.IFERROR(IF(Table4[[#This Row],[Electric kWh usage]]="","",(Table4[[#This Row],[Electric kWh usage]]+Table4[[#This Row],[Gas kWh usage]])/Table4[[#This Row],[Total BOD removed]]),"")</f>
        <v>2.884638573173838</v>
      </c>
      <c r="L15" s="101">
        <f>IF('Energy Data Entry'!E36+'Energy Data Entry'!J36+'Energy Data Entry'!O36+'Energy Data Entry'!T36+'Energy Data Entry'!Y36=0,"",'Energy Data Entry'!E36+'Energy Data Entry'!J36+'Energy Data Entry'!O36+'Energy Data Entry'!T36+'Energy Data Entry'!Y36)</f>
        <v>382</v>
      </c>
      <c r="M15" s="101">
        <f>IF('Energy Data Entry'!F36+'Energy Data Entry'!K36+'Energy Data Entry'!P36++'Energy Data Entry'!U36+'Energy Data Entry'!Z36=0,"",'Energy Data Entry'!F36+'Energy Data Entry'!K36+'Energy Data Entry'!P36++'Energy Data Entry'!U36+'Energy Data Entry'!Z36)</f>
        <v>382</v>
      </c>
      <c r="N15" s="103">
        <f>IF('Energy Data Entry'!G36+'Energy Data Entry'!L36+'Energy Data Entry'!Q36+'Energy Data Entry'!V36+'Energy Data Entry'!AA36=0,"",'Energy Data Entry'!G36+'Energy Data Entry'!L36+'Energy Data Entry'!Q36+'Energy Data Entry'!V36+'Energy Data Entry'!AA36)</f>
        <v>4202</v>
      </c>
      <c r="O15" s="103">
        <f>IF('Energy Data Entry'!D36+'Energy Data Entry'!I36+'Energy Data Entry'!N36+'Energy Data Entry'!S36+'Energy Data Entry'!X36=0,"",'Energy Data Entry'!D36+'Energy Data Entry'!I36+'Energy Data Entry'!N36+'Energy Data Entry'!S36+'Energy Data Entry'!X36)</f>
        <v>17149.088</v>
      </c>
      <c r="P15" s="404">
        <f>'Energy Data Entry'!AF36</f>
        <v>0</v>
      </c>
      <c r="Q15" s="152">
        <f>_xlfn.IFERROR(Table4[[#This Row],[Total electric cost]]/Table4[[#This Row],[Electric kWh usage]],"")</f>
        <v>0.07947310468577953</v>
      </c>
      <c r="R15" s="152">
        <f>_xlfn.IFERROR(Table4[[#This Row],[Electric Demand Cost]]/Table4[[#This Row],[Total Electric Demand (Billed)]],_xlfn.IFERROR(Table4[[#This Row],[Electric Demand Cost]]/Table4[[#This Row],[Total Electric Demand (Actual)]],""))</f>
        <v>11</v>
      </c>
      <c r="S15" s="103">
        <f>_xlfn.IFERROR(Table4[[#This Row],[Total Gas cost]]+Table4[[#This Row],[Total electric cost]],"")</f>
        <v>17149.088</v>
      </c>
      <c r="T15" s="112"/>
      <c r="U15" s="103">
        <f>_xlfn.IFERROR(Table4[[#This Row],[Total Energy Cost]]/Table4[[#This Row],[Monthly Flow]],"")</f>
        <v>259.83466666666664</v>
      </c>
      <c r="V15" s="103">
        <f>_xlfn.IFERROR(Table4[[#This Row],[Total Energy Cost]]/Table4[[#This Row],[Total BOD removed]],"")</f>
        <v>0.22925118330648211</v>
      </c>
      <c r="W15" s="356"/>
      <c r="X15" s="104">
        <f>IF('Process Data Entry'!G17="","",'Process Data Entry'!G17)</f>
        <v>34</v>
      </c>
      <c r="Y15" s="104">
        <f>IF('Process Data Entry'!H17="","",'Process Data Entry'!H17)</f>
        <v>13</v>
      </c>
      <c r="Z15" s="104">
        <f>IF('Process Data Entry'!I17="",0,'Process Data Entry'!I17)</f>
        <v>0</v>
      </c>
      <c r="AA15" s="104">
        <f>IF('Process Data Entry'!J17="","",'Process Data Entry'!J17)</f>
        <v>2.9</v>
      </c>
      <c r="AB15" s="104">
        <f>IF('Process Data Entry'!K17="","",'Process Data Entry'!K17)</f>
        <v>1</v>
      </c>
      <c r="AC15" s="104">
        <f>IF('Process Data Entry'!L17="","",'Process Data Entry'!L17)</f>
        <v>20.1</v>
      </c>
      <c r="AD15" s="357">
        <f t="shared" si="0"/>
        <v>11</v>
      </c>
      <c r="AE15" s="357">
        <f t="shared" si="1"/>
        <v>6054.84</v>
      </c>
      <c r="AF15" s="358">
        <f>IF('Process Data Entry'!M17="","",'Process Data Entry'!M17)</f>
        <v>7.8</v>
      </c>
      <c r="AG15" s="358">
        <f>IF('Process Data Entry'!N17="","",'Process Data Entry'!N17)</f>
        <v>1.5</v>
      </c>
      <c r="AH15" s="99">
        <f t="shared" si="2"/>
        <v>3467.7719999999995</v>
      </c>
    </row>
    <row r="16" spans="1:34" ht="15">
      <c r="A16" s="89">
        <v>2</v>
      </c>
      <c r="B16" s="90">
        <f>'Energy Data Entry'!B37</f>
        <v>42552</v>
      </c>
      <c r="C16" s="359">
        <f>IF(OR('Process Data Entry'!C18="",'Process Data Entry'!C18=0),"",'Process Data Entry'!C18)</f>
        <v>1.68</v>
      </c>
      <c r="D16" s="91">
        <f>IF(Table4[[#This Row],[Avg Daily Flow]]="","",_xlfn.DAYS(EOMONTH(B16,0),EOMONTH(B16,-1))*C16)</f>
        <v>52.08</v>
      </c>
      <c r="E16" s="91">
        <f>IF('Process Data Entry'!F18="","",'Process Data Entry'!F18)</f>
        <v>2035.1267999999998</v>
      </c>
      <c r="F16" s="92">
        <f>IF(Table4[[#This Row],[BOD removed]]="","",Table4[[#This Row],[BOD removed]]*_xlfn.DAYS(EOMONTH(Table4[[#This Row],[Column2]],0),EOMONTH(Table4[[#This Row],[Column2]],-1)))</f>
        <v>63088.930799999995</v>
      </c>
      <c r="G16" s="93">
        <f>IF(SUM('Energy Data Entry'!C37,'Energy Data Entry'!H37,'Energy Data Entry'!M37,'Energy Data Entry'!R37,'Energy Data Entry'!W37)=0,"",SUM('Energy Data Entry'!C37,'Energy Data Entry'!H37,'Energy Data Entry'!M37,'Energy Data Entry'!R37,'Energy Data Entry'!W37))</f>
        <v>156031.68</v>
      </c>
      <c r="H16" s="93">
        <f>'Energy Data Entry'!AG37</f>
        <v>0</v>
      </c>
      <c r="I16" s="93">
        <f>IF(Table4[[#This Row],[Electric kWh usage]]="","",Table4[[#This Row],[Gas kWh usage]]+Table4[[#This Row],[Electric kWh usage]])</f>
        <v>156031.68</v>
      </c>
      <c r="J16" s="92">
        <f>IF(OR(Table4[[#This Row],[Electric kWh usage]]="",Table4[[#This Row],[Monthly Flow]]=""),"",(Table4[[#This Row],[Electric kWh usage]]+Table4[[#This Row],[Gas kWh usage]])/Table4[[#This Row],[Monthly Flow]])</f>
        <v>2996</v>
      </c>
      <c r="K16" s="94">
        <f>_xlfn.IFERROR(IF(Table4[[#This Row],[Electric kWh usage]]="","",(Table4[[#This Row],[Electric kWh usage]]+Table4[[#This Row],[Gas kWh usage]])/Table4[[#This Row],[Total BOD removed]]),"")</f>
        <v>2.4732021611626362</v>
      </c>
      <c r="L16" s="93">
        <f>IF('Energy Data Entry'!E37+'Energy Data Entry'!J37+'Energy Data Entry'!O37+'Energy Data Entry'!T37+'Energy Data Entry'!Y37=0,"",'Energy Data Entry'!E37+'Energy Data Entry'!J37+'Energy Data Entry'!O37+'Energy Data Entry'!T37+'Energy Data Entry'!Y37)</f>
        <v>287</v>
      </c>
      <c r="M16" s="93">
        <f>IF('Energy Data Entry'!F37+'Energy Data Entry'!K37+'Energy Data Entry'!P37++'Energy Data Entry'!U37+'Energy Data Entry'!Z37=0,"",'Energy Data Entry'!F37+'Energy Data Entry'!K37+'Energy Data Entry'!P37++'Energy Data Entry'!U37+'Energy Data Entry'!Z37)</f>
        <v>287</v>
      </c>
      <c r="N16" s="95">
        <f>IF('Energy Data Entry'!G37+'Energy Data Entry'!L37+'Energy Data Entry'!Q37+'Energy Data Entry'!V37+'Energy Data Entry'!AA37=0,"",'Energy Data Entry'!G37+'Energy Data Entry'!L37+'Energy Data Entry'!Q37+'Energy Data Entry'!V37+'Energy Data Entry'!AA37)</f>
        <v>3157</v>
      </c>
      <c r="O16" s="95">
        <f>IF('Energy Data Entry'!D37+'Energy Data Entry'!I37+'Energy Data Entry'!N37+'Energy Data Entry'!S37+'Energy Data Entry'!X37=0,"",'Energy Data Entry'!D37+'Energy Data Entry'!I37+'Energy Data Entry'!N37+'Energy Data Entry'!S37+'Energy Data Entry'!X37)</f>
        <v>12518.9008</v>
      </c>
      <c r="P16" s="405">
        <f>'Energy Data Entry'!AF37</f>
        <v>0</v>
      </c>
      <c r="Q16" s="153">
        <f>_xlfn.IFERROR(Table4[[#This Row],[Total electric cost]]/Table4[[#This Row],[Electric kWh usage]],"")</f>
        <v>0.08023307061745409</v>
      </c>
      <c r="R16" s="153">
        <f>_xlfn.IFERROR(Table4[[#This Row],[Electric Demand Cost]]/Table4[[#This Row],[Total Electric Demand (Billed)]],_xlfn.IFERROR(Table4[[#This Row],[Electric Demand Cost]]/Table4[[#This Row],[Total Electric Demand (Actual)]],""))</f>
        <v>11</v>
      </c>
      <c r="S16" s="95">
        <f>_xlfn.IFERROR(Table4[[#This Row],[Total Gas cost]]+Table4[[#This Row],[Total electric cost]],"")</f>
        <v>12518.9008</v>
      </c>
      <c r="T16" s="113"/>
      <c r="U16" s="95">
        <f>_xlfn.IFERROR(Table4[[#This Row],[Total Energy Cost]]/Table4[[#This Row],[Monthly Flow]],"")</f>
        <v>240.37827956989247</v>
      </c>
      <c r="V16" s="95">
        <f>_xlfn.IFERROR(Table4[[#This Row],[Total Energy Cost]]/Table4[[#This Row],[Total BOD removed]],"")</f>
        <v>0.19843260364780188</v>
      </c>
      <c r="W16" s="116"/>
      <c r="X16" s="96">
        <f>IF('Process Data Entry'!G18="","",'Process Data Entry'!G18)</f>
        <v>31</v>
      </c>
      <c r="Y16" s="96">
        <f>IF('Process Data Entry'!H18="","",'Process Data Entry'!H18)</f>
        <v>18</v>
      </c>
      <c r="Z16" s="96">
        <f>IF('Process Data Entry'!I18="",0,'Process Data Entry'!I18)</f>
        <v>0</v>
      </c>
      <c r="AA16" s="96">
        <f>IF('Process Data Entry'!J18="","",'Process Data Entry'!J18)</f>
        <v>3.2</v>
      </c>
      <c r="AB16" s="96">
        <f>IF('Process Data Entry'!K18="","",'Process Data Entry'!K18)</f>
        <v>1.3</v>
      </c>
      <c r="AC16" s="96">
        <f>IF('Process Data Entry'!L18="","",'Process Data Entry'!L18)</f>
        <v>9.5</v>
      </c>
      <c r="AD16" s="360">
        <f t="shared" si="0"/>
        <v>18.3</v>
      </c>
      <c r="AE16" s="360">
        <f t="shared" si="1"/>
        <v>7948.55376</v>
      </c>
      <c r="AF16" s="361">
        <f>IF('Process Data Entry'!M18="","",'Process Data Entry'!M18)</f>
        <v>7.2</v>
      </c>
      <c r="AG16" s="361">
        <f>IF('Process Data Entry'!N18="","",'Process Data Entry'!N18)</f>
        <v>1</v>
      </c>
      <c r="AH16" s="91">
        <f t="shared" si="2"/>
        <v>2692.95264</v>
      </c>
    </row>
    <row r="17" spans="1:34" ht="15">
      <c r="A17" s="78">
        <v>2</v>
      </c>
      <c r="B17" s="79">
        <f>'Energy Data Entry'!B38</f>
        <v>42583</v>
      </c>
      <c r="C17" s="80">
        <f>IF(OR('Process Data Entry'!C19="",'Process Data Entry'!C19=0),"",'Process Data Entry'!C19)</f>
        <v>2.5</v>
      </c>
      <c r="D17" s="81">
        <f>IF(Table4[[#This Row],[Avg Daily Flow]]="","",_xlfn.DAYS(EOMONTH(B17,0),EOMONTH(B17,-1))*C17)</f>
        <v>77.5</v>
      </c>
      <c r="E17" s="81">
        <f>IF('Process Data Entry'!F19="","",'Process Data Entry'!F19)</f>
        <v>4091.8125000000005</v>
      </c>
      <c r="F17" s="82">
        <f>IF(Table4[[#This Row],[BOD removed]]="","",Table4[[#This Row],[BOD removed]]*_xlfn.DAYS(EOMONTH(Table4[[#This Row],[Column2]],0),EOMONTH(Table4[[#This Row],[Column2]],-1)))</f>
        <v>126846.18750000001</v>
      </c>
      <c r="G17" s="83">
        <f>IF(SUM('Energy Data Entry'!C38,'Energy Data Entry'!H38,'Energy Data Entry'!M38,'Energy Data Entry'!R38,'Energy Data Entry'!W38)=0,"",SUM('Energy Data Entry'!C38,'Energy Data Entry'!H38,'Energy Data Entry'!M38,'Energy Data Entry'!R38,'Energy Data Entry'!W38))</f>
        <v>241500</v>
      </c>
      <c r="H17" s="83">
        <f>'Energy Data Entry'!AG38</f>
        <v>0</v>
      </c>
      <c r="I17" s="83">
        <f>IF(Table4[[#This Row],[Electric kWh usage]]="","",Table4[[#This Row],[Gas kWh usage]]+Table4[[#This Row],[Electric kWh usage]])</f>
        <v>241500</v>
      </c>
      <c r="J17" s="82">
        <f>IF(OR(Table4[[#This Row],[Electric kWh usage]]="",Table4[[#This Row],[Monthly Flow]]=""),"",(Table4[[#This Row],[Electric kWh usage]]+Table4[[#This Row],[Gas kWh usage]])/Table4[[#This Row],[Monthly Flow]])</f>
        <v>3116.1290322580644</v>
      </c>
      <c r="K17" s="84">
        <f>_xlfn.IFERROR(IF(Table4[[#This Row],[Electric kWh usage]]="","",(Table4[[#This Row],[Electric kWh usage]]+Table4[[#This Row],[Gas kWh usage]])/Table4[[#This Row],[Total BOD removed]]),"")</f>
        <v>1.9038806349619295</v>
      </c>
      <c r="L17" s="83">
        <f>IF('Energy Data Entry'!E38+'Energy Data Entry'!J38+'Energy Data Entry'!O38+'Energy Data Entry'!T38+'Energy Data Entry'!Y38=0,"",'Energy Data Entry'!E38+'Energy Data Entry'!J38+'Energy Data Entry'!O38+'Energy Data Entry'!T38+'Energy Data Entry'!Y38)</f>
        <v>479</v>
      </c>
      <c r="M17" s="83">
        <f>IF('Energy Data Entry'!F38+'Energy Data Entry'!K38+'Energy Data Entry'!P38++'Energy Data Entry'!U38+'Energy Data Entry'!Z38=0,"",'Energy Data Entry'!F38+'Energy Data Entry'!K38+'Energy Data Entry'!P38++'Energy Data Entry'!U38+'Energy Data Entry'!Z38)</f>
        <v>479</v>
      </c>
      <c r="N17" s="85">
        <f>IF('Energy Data Entry'!G38+'Energy Data Entry'!L38+'Energy Data Entry'!Q38+'Energy Data Entry'!V38+'Energy Data Entry'!AA38=0,"",'Energy Data Entry'!G38+'Energy Data Entry'!L38+'Energy Data Entry'!Q38+'Energy Data Entry'!V38+'Energy Data Entry'!AA38)</f>
        <v>5269</v>
      </c>
      <c r="O17" s="85">
        <f>IF('Energy Data Entry'!D38+'Energy Data Entry'!I38+'Energy Data Entry'!N38+'Energy Data Entry'!S38+'Energy Data Entry'!X38=0,"",'Energy Data Entry'!D38+'Energy Data Entry'!I38+'Energy Data Entry'!N38+'Energy Data Entry'!S38+'Energy Data Entry'!X38)</f>
        <v>19759</v>
      </c>
      <c r="P17" s="403">
        <f>'Energy Data Entry'!AF38</f>
        <v>0</v>
      </c>
      <c r="Q17" s="151">
        <f>_xlfn.IFERROR(Table4[[#This Row],[Total electric cost]]/Table4[[#This Row],[Electric kWh usage]],"")</f>
        <v>0.08181780538302277</v>
      </c>
      <c r="R17" s="151">
        <f>_xlfn.IFERROR(Table4[[#This Row],[Electric Demand Cost]]/Table4[[#This Row],[Total Electric Demand (Billed)]],_xlfn.IFERROR(Table4[[#This Row],[Electric Demand Cost]]/Table4[[#This Row],[Total Electric Demand (Actual)]],""))</f>
        <v>11</v>
      </c>
      <c r="S17" s="85">
        <f>_xlfn.IFERROR(Table4[[#This Row],[Total Gas cost]]+Table4[[#This Row],[Total electric cost]],"")</f>
        <v>19759</v>
      </c>
      <c r="T17" s="111"/>
      <c r="U17" s="85">
        <f>_xlfn.IFERROR(Table4[[#This Row],[Total Energy Cost]]/Table4[[#This Row],[Monthly Flow]],"")</f>
        <v>254.95483870967743</v>
      </c>
      <c r="V17" s="85">
        <f>_xlfn.IFERROR(Table4[[#This Row],[Total Energy Cost]]/Table4[[#This Row],[Total BOD removed]],"")</f>
        <v>0.15577133526382098</v>
      </c>
      <c r="W17" s="116"/>
      <c r="X17" s="86">
        <f>IF('Process Data Entry'!G19="","",'Process Data Entry'!G19)</f>
        <v>40</v>
      </c>
      <c r="Y17" s="86">
        <f>IF('Process Data Entry'!H19="","",'Process Data Entry'!H19)</f>
        <v>16</v>
      </c>
      <c r="Z17" s="86">
        <f>IF('Process Data Entry'!I19="",0,'Process Data Entry'!I19)</f>
        <v>0</v>
      </c>
      <c r="AA17" s="86">
        <f>IF('Process Data Entry'!J19="","",'Process Data Entry'!J19)</f>
        <v>2.7</v>
      </c>
      <c r="AB17" s="86">
        <f>IF('Process Data Entry'!K19="","",'Process Data Entry'!K19)</f>
        <v>0.9</v>
      </c>
      <c r="AC17" s="86">
        <f>IF('Process Data Entry'!L19="","",'Process Data Entry'!L19)</f>
        <v>13.4</v>
      </c>
      <c r="AD17" s="87">
        <f t="shared" si="0"/>
        <v>23.9</v>
      </c>
      <c r="AE17" s="87">
        <f t="shared" si="1"/>
        <v>15447.765</v>
      </c>
      <c r="AF17" s="150">
        <f>IF('Process Data Entry'!M19="","",'Process Data Entry'!M19)</f>
        <v>8.6</v>
      </c>
      <c r="AG17" s="150">
        <f>IF('Process Data Entry'!N19="","",'Process Data Entry'!N19)</f>
        <v>1.2</v>
      </c>
      <c r="AH17" s="81">
        <f t="shared" si="2"/>
        <v>4782.99</v>
      </c>
    </row>
    <row r="18" spans="1:34" ht="15">
      <c r="A18" s="78">
        <v>2</v>
      </c>
      <c r="B18" s="79">
        <f>'Energy Data Entry'!B39</f>
        <v>42614</v>
      </c>
      <c r="C18" s="80">
        <f>IF(OR('Process Data Entry'!C20="",'Process Data Entry'!C20=0),"",'Process Data Entry'!C20)</f>
        <v>1.98</v>
      </c>
      <c r="D18" s="81">
        <f>IF(Table4[[#This Row],[Avg Daily Flow]]="","",_xlfn.DAYS(EOMONTH(B18,0),EOMONTH(B18,-1))*C18)</f>
        <v>59.4</v>
      </c>
      <c r="E18" s="81">
        <f>IF('Process Data Entry'!F20="","",'Process Data Entry'!F20)</f>
        <v>3527.21952</v>
      </c>
      <c r="F18" s="82">
        <f>IF(Table4[[#This Row],[BOD removed]]="","",Table4[[#This Row],[BOD removed]]*_xlfn.DAYS(EOMONTH(Table4[[#This Row],[Column2]],0),EOMONTH(Table4[[#This Row],[Column2]],-1)))</f>
        <v>105816.5856</v>
      </c>
      <c r="G18" s="83">
        <f>IF(SUM('Energy Data Entry'!C39,'Energy Data Entry'!H39,'Energy Data Entry'!M39,'Energy Data Entry'!R39,'Energy Data Entry'!W39)=0,"",SUM('Energy Data Entry'!C39,'Energy Data Entry'!H39,'Energy Data Entry'!M39,'Energy Data Entry'!R39,'Energy Data Entry'!W39))</f>
        <v>146084.4</v>
      </c>
      <c r="H18" s="83">
        <f>'Energy Data Entry'!AG39</f>
        <v>0</v>
      </c>
      <c r="I18" s="83">
        <f>IF(Table4[[#This Row],[Electric kWh usage]]="","",Table4[[#This Row],[Gas kWh usage]]+Table4[[#This Row],[Electric kWh usage]])</f>
        <v>146084.4</v>
      </c>
      <c r="J18" s="82">
        <f>IF(OR(Table4[[#This Row],[Electric kWh usage]]="",Table4[[#This Row],[Monthly Flow]]=""),"",(Table4[[#This Row],[Electric kWh usage]]+Table4[[#This Row],[Gas kWh usage]])/Table4[[#This Row],[Monthly Flow]])</f>
        <v>2459.3333333333335</v>
      </c>
      <c r="K18" s="84">
        <f>_xlfn.IFERROR(IF(Table4[[#This Row],[Electric kWh usage]]="","",(Table4[[#This Row],[Electric kWh usage]]+Table4[[#This Row],[Gas kWh usage]])/Table4[[#This Row],[Total BOD removed]]),"")</f>
        <v>1.3805435052706896</v>
      </c>
      <c r="L18" s="83">
        <f>IF('Energy Data Entry'!E39+'Energy Data Entry'!J39+'Energy Data Entry'!O39+'Energy Data Entry'!T39+'Energy Data Entry'!Y39=0,"",'Energy Data Entry'!E39+'Energy Data Entry'!J39+'Energy Data Entry'!O39+'Energy Data Entry'!T39+'Energy Data Entry'!Y39)</f>
        <v>269</v>
      </c>
      <c r="M18" s="83">
        <f>IF('Energy Data Entry'!F39+'Energy Data Entry'!K39+'Energy Data Entry'!P39++'Energy Data Entry'!U39+'Energy Data Entry'!Z39=0,"",'Energy Data Entry'!F39+'Energy Data Entry'!K39+'Energy Data Entry'!P39++'Energy Data Entry'!U39+'Energy Data Entry'!Z39)</f>
        <v>335</v>
      </c>
      <c r="N18" s="85">
        <f>IF('Energy Data Entry'!G39+'Energy Data Entry'!L39+'Energy Data Entry'!Q39+'Energy Data Entry'!V39+'Energy Data Entry'!AA39=0,"",'Energy Data Entry'!G39+'Energy Data Entry'!L39+'Energy Data Entry'!Q39+'Energy Data Entry'!V39+'Energy Data Entry'!AA39)</f>
        <v>3685</v>
      </c>
      <c r="O18" s="85">
        <f>IF('Energy Data Entry'!D39+'Energy Data Entry'!I39+'Energy Data Entry'!N39+'Energy Data Entry'!S39+'Energy Data Entry'!X39=0,"",'Energy Data Entry'!D39+'Energy Data Entry'!I39+'Energy Data Entry'!N39+'Energy Data Entry'!S39+'Energy Data Entry'!X39)</f>
        <v>12450.063999999998</v>
      </c>
      <c r="P18" s="403">
        <f>'Energy Data Entry'!AF39</f>
        <v>0</v>
      </c>
      <c r="Q18" s="151">
        <f>_xlfn.IFERROR(Table4[[#This Row],[Total electric cost]]/Table4[[#This Row],[Electric kWh usage]],"")</f>
        <v>0.08522514382096924</v>
      </c>
      <c r="R18" s="151">
        <f>_xlfn.IFERROR(Table4[[#This Row],[Electric Demand Cost]]/Table4[[#This Row],[Total Electric Demand (Billed)]],_xlfn.IFERROR(Table4[[#This Row],[Electric Demand Cost]]/Table4[[#This Row],[Total Electric Demand (Actual)]],""))</f>
        <v>11</v>
      </c>
      <c r="S18" s="85">
        <f>_xlfn.IFERROR(Table4[[#This Row],[Total Gas cost]]+Table4[[#This Row],[Total electric cost]],"")</f>
        <v>12450.063999999998</v>
      </c>
      <c r="T18" s="111"/>
      <c r="U18" s="85">
        <f>_xlfn.IFERROR(Table4[[#This Row],[Total Energy Cost]]/Table4[[#This Row],[Monthly Flow]],"")</f>
        <v>209.597037037037</v>
      </c>
      <c r="V18" s="85">
        <f>_xlfn.IFERROR(Table4[[#This Row],[Total Energy Cost]]/Table4[[#This Row],[Total BOD removed]],"")</f>
        <v>0.11765701878779954</v>
      </c>
      <c r="W18" s="116"/>
      <c r="X18" s="86">
        <f>IF('Process Data Entry'!G20="","",'Process Data Entry'!G20)</f>
        <v>34</v>
      </c>
      <c r="Y18" s="86">
        <f>IF('Process Data Entry'!H20="","",'Process Data Entry'!H20)</f>
        <v>15</v>
      </c>
      <c r="Z18" s="86">
        <f>IF('Process Data Entry'!I20="",0,'Process Data Entry'!I20)</f>
        <v>0</v>
      </c>
      <c r="AA18" s="86">
        <f>IF('Process Data Entry'!J20="","",'Process Data Entry'!J20)</f>
        <v>2.8</v>
      </c>
      <c r="AB18" s="86">
        <f>IF('Process Data Entry'!K20="","",'Process Data Entry'!K20)</f>
        <v>1.3</v>
      </c>
      <c r="AC18" s="86">
        <f>IF('Process Data Entry'!L20="","",'Process Data Entry'!L20)</f>
        <v>20.3</v>
      </c>
      <c r="AD18" s="87">
        <f t="shared" si="0"/>
        <v>10.899999999999999</v>
      </c>
      <c r="AE18" s="87">
        <f t="shared" si="1"/>
        <v>5399.8164</v>
      </c>
      <c r="AF18" s="150">
        <f>IF('Process Data Entry'!M20="","",'Process Data Entry'!M20)</f>
        <v>9</v>
      </c>
      <c r="AG18" s="150">
        <f>IF('Process Data Entry'!N20="","",'Process Data Entry'!N20)</f>
        <v>1.2</v>
      </c>
      <c r="AH18" s="81">
        <f t="shared" si="2"/>
        <v>3864.0887999999995</v>
      </c>
    </row>
    <row r="19" spans="1:34" ht="15">
      <c r="A19" s="78">
        <v>2</v>
      </c>
      <c r="B19" s="79">
        <f>'Energy Data Entry'!B40</f>
        <v>42644</v>
      </c>
      <c r="C19" s="80">
        <f>IF(OR('Process Data Entry'!C21="",'Process Data Entry'!C21=0),"",'Process Data Entry'!C21)</f>
        <v>2.2800000000000002</v>
      </c>
      <c r="D19" s="81">
        <f>IF(Table4[[#This Row],[Avg Daily Flow]]="","",_xlfn.DAYS(EOMONTH(B19,0),EOMONTH(B19,-1))*C19)</f>
        <v>70.68</v>
      </c>
      <c r="E19" s="81">
        <f>IF('Process Data Entry'!F21="","",'Process Data Entry'!F21)</f>
        <v>3864.8394</v>
      </c>
      <c r="F19" s="82">
        <f>IF(Table4[[#This Row],[BOD removed]]="","",Table4[[#This Row],[BOD removed]]*_xlfn.DAYS(EOMONTH(Table4[[#This Row],[Column2]],0),EOMONTH(Table4[[#This Row],[Column2]],-1)))</f>
        <v>119810.0214</v>
      </c>
      <c r="G19" s="83">
        <f>IF(SUM('Energy Data Entry'!C40,'Energy Data Entry'!H40,'Energy Data Entry'!M40,'Energy Data Entry'!R40,'Energy Data Entry'!W40)=0,"",SUM('Energy Data Entry'!C40,'Energy Data Entry'!H40,'Energy Data Entry'!M40,'Energy Data Entry'!R40,'Energy Data Entry'!W40))</f>
        <v>178113.6</v>
      </c>
      <c r="H19" s="83">
        <f>'Energy Data Entry'!AG40</f>
        <v>0</v>
      </c>
      <c r="I19" s="83">
        <f>IF(Table4[[#This Row],[Electric kWh usage]]="","",Table4[[#This Row],[Gas kWh usage]]+Table4[[#This Row],[Electric kWh usage]])</f>
        <v>178113.6</v>
      </c>
      <c r="J19" s="82">
        <f>IF(OR(Table4[[#This Row],[Electric kWh usage]]="",Table4[[#This Row],[Monthly Flow]]=""),"",(Table4[[#This Row],[Electric kWh usage]]+Table4[[#This Row],[Gas kWh usage]])/Table4[[#This Row],[Monthly Flow]])</f>
        <v>2520</v>
      </c>
      <c r="K19" s="84">
        <f>_xlfn.IFERROR(IF(Table4[[#This Row],[Electric kWh usage]]="","",(Table4[[#This Row],[Electric kWh usage]]+Table4[[#This Row],[Gas kWh usage]])/Table4[[#This Row],[Total BOD removed]]),"")</f>
        <v>1.486633571371685</v>
      </c>
      <c r="L19" s="83">
        <f>IF('Energy Data Entry'!E40+'Energy Data Entry'!J40+'Energy Data Entry'!O40+'Energy Data Entry'!T40+'Energy Data Entry'!Y40=0,"",'Energy Data Entry'!E40+'Energy Data Entry'!J40+'Energy Data Entry'!O40+'Energy Data Entry'!T40+'Energy Data Entry'!Y40)</f>
        <v>348</v>
      </c>
      <c r="M19" s="83">
        <f>IF('Energy Data Entry'!F40+'Energy Data Entry'!K40+'Energy Data Entry'!P40++'Energy Data Entry'!U40+'Energy Data Entry'!Z40=0,"",'Energy Data Entry'!F40+'Energy Data Entry'!K40+'Energy Data Entry'!P40++'Energy Data Entry'!U40+'Energy Data Entry'!Z40)</f>
        <v>348</v>
      </c>
      <c r="N19" s="85">
        <f>IF('Energy Data Entry'!G40+'Energy Data Entry'!L40+'Energy Data Entry'!Q40+'Energy Data Entry'!V40+'Energy Data Entry'!AA40=0,"",'Energy Data Entry'!G40+'Energy Data Entry'!L40+'Energy Data Entry'!Q40+'Energy Data Entry'!V40+'Energy Data Entry'!AA40)</f>
        <v>3828</v>
      </c>
      <c r="O19" s="85">
        <f>IF('Energy Data Entry'!D40+'Energy Data Entry'!I40+'Energy Data Entry'!N40+'Energy Data Entry'!S40+'Energy Data Entry'!X40=0,"",'Energy Data Entry'!D40+'Energy Data Entry'!I40+'Energy Data Entry'!N40+'Energy Data Entry'!S40+'Energy Data Entry'!X40)</f>
        <v>14514.816</v>
      </c>
      <c r="P19" s="403">
        <f>'Energy Data Entry'!AF40</f>
        <v>0</v>
      </c>
      <c r="Q19" s="151">
        <f>_xlfn.IFERROR(Table4[[#This Row],[Total electric cost]]/Table4[[#This Row],[Electric kWh usage]],"")</f>
        <v>0.08149190179750451</v>
      </c>
      <c r="R19" s="151">
        <f>_xlfn.IFERROR(Table4[[#This Row],[Electric Demand Cost]]/Table4[[#This Row],[Total Electric Demand (Billed)]],_xlfn.IFERROR(Table4[[#This Row],[Electric Demand Cost]]/Table4[[#This Row],[Total Electric Demand (Actual)]],""))</f>
        <v>11</v>
      </c>
      <c r="S19" s="85">
        <f>_xlfn.IFERROR(Table4[[#This Row],[Total Gas cost]]+Table4[[#This Row],[Total electric cost]],"")</f>
        <v>14514.816</v>
      </c>
      <c r="T19" s="111"/>
      <c r="U19" s="85">
        <f>_xlfn.IFERROR(Table4[[#This Row],[Total Energy Cost]]/Table4[[#This Row],[Monthly Flow]],"")</f>
        <v>205.35959252971136</v>
      </c>
      <c r="V19" s="85">
        <f>_xlfn.IFERROR(Table4[[#This Row],[Total Energy Cost]]/Table4[[#This Row],[Total BOD removed]],"")</f>
        <v>0.12114859700709478</v>
      </c>
      <c r="W19" s="116"/>
      <c r="X19" s="86">
        <f>IF('Process Data Entry'!G21="","",'Process Data Entry'!G21)</f>
        <v>35</v>
      </c>
      <c r="Y19" s="86">
        <f>IF('Process Data Entry'!H21="","",'Process Data Entry'!H21)</f>
        <v>15</v>
      </c>
      <c r="Z19" s="86">
        <f>IF('Process Data Entry'!I21="",0,'Process Data Entry'!I21)</f>
        <v>0</v>
      </c>
      <c r="AA19" s="86">
        <f>IF('Process Data Entry'!J21="","",'Process Data Entry'!J21)</f>
        <v>2.9</v>
      </c>
      <c r="AB19" s="86">
        <f>IF('Process Data Entry'!K21="","",'Process Data Entry'!K21)</f>
        <v>1.6</v>
      </c>
      <c r="AC19" s="86">
        <f>IF('Process Data Entry'!L21="","",'Process Data Entry'!L21)</f>
        <v>20.1</v>
      </c>
      <c r="AD19" s="87">
        <f t="shared" si="0"/>
        <v>12</v>
      </c>
      <c r="AE19" s="87">
        <f t="shared" si="1"/>
        <v>7073.6544</v>
      </c>
      <c r="AF19" s="150">
        <f>IF('Process Data Entry'!M21="","",'Process Data Entry'!M21)</f>
        <v>8</v>
      </c>
      <c r="AG19" s="150">
        <f>IF('Process Data Entry'!N21="","",'Process Data Entry'!N21)</f>
        <v>1.2</v>
      </c>
      <c r="AH19" s="81">
        <f t="shared" si="2"/>
        <v>4008.4041600000005</v>
      </c>
    </row>
    <row r="20" spans="1:34" ht="15">
      <c r="A20" s="78">
        <v>2</v>
      </c>
      <c r="B20" s="79">
        <f>'Energy Data Entry'!B41</f>
        <v>42675</v>
      </c>
      <c r="C20" s="80">
        <f>IF(OR('Process Data Entry'!C22="",'Process Data Entry'!C22=0),"",'Process Data Entry'!C22)</f>
        <v>2.2800000000000002</v>
      </c>
      <c r="D20" s="81">
        <f>IF(Table4[[#This Row],[Avg Daily Flow]]="","",_xlfn.DAYS(EOMONTH(B20,0),EOMONTH(B20,-1))*C20)</f>
        <v>68.4</v>
      </c>
      <c r="E20" s="81">
        <f>IF('Process Data Entry'!F22="","",'Process Data Entry'!F22)</f>
        <v>4122.495360000001</v>
      </c>
      <c r="F20" s="82">
        <f>IF(Table4[[#This Row],[BOD removed]]="","",Table4[[#This Row],[BOD removed]]*_xlfn.DAYS(EOMONTH(Table4[[#This Row],[Column2]],0),EOMONTH(Table4[[#This Row],[Column2]],-1)))</f>
        <v>123674.86080000002</v>
      </c>
      <c r="G20" s="83">
        <f>IF(SUM('Energy Data Entry'!C41,'Energy Data Entry'!H41,'Energy Data Entry'!M41,'Energy Data Entry'!R41,'Energy Data Entry'!W41)=0,"",SUM('Energy Data Entry'!C41,'Energy Data Entry'!H41,'Energy Data Entry'!M41,'Energy Data Entry'!R41,'Energy Data Entry'!W41))</f>
        <v>213736.32000000004</v>
      </c>
      <c r="H20" s="83">
        <f>'Energy Data Entry'!AG41</f>
        <v>0</v>
      </c>
      <c r="I20" s="83">
        <f>IF(Table4[[#This Row],[Electric kWh usage]]="","",Table4[[#This Row],[Gas kWh usage]]+Table4[[#This Row],[Electric kWh usage]])</f>
        <v>213736.32000000004</v>
      </c>
      <c r="J20" s="82">
        <f>IF(OR(Table4[[#This Row],[Electric kWh usage]]="",Table4[[#This Row],[Monthly Flow]]=""),"",(Table4[[#This Row],[Electric kWh usage]]+Table4[[#This Row],[Gas kWh usage]])/Table4[[#This Row],[Monthly Flow]])</f>
        <v>3124.8</v>
      </c>
      <c r="K20" s="84">
        <f>_xlfn.IFERROR(IF(Table4[[#This Row],[Electric kWh usage]]="","",(Table4[[#This Row],[Electric kWh usage]]+Table4[[#This Row],[Gas kWh usage]])/Table4[[#This Row],[Total BOD removed]]),"")</f>
        <v>1.7282115267195837</v>
      </c>
      <c r="L20" s="83">
        <f>IF('Energy Data Entry'!E41+'Energy Data Entry'!J41+'Energy Data Entry'!O41+'Energy Data Entry'!T41+'Energy Data Entry'!Y41=0,"",'Energy Data Entry'!E41+'Energy Data Entry'!J41+'Energy Data Entry'!O41+'Energy Data Entry'!T41+'Energy Data Entry'!Y41)</f>
        <v>405</v>
      </c>
      <c r="M20" s="83">
        <f>IF('Energy Data Entry'!F41+'Energy Data Entry'!K41+'Energy Data Entry'!P41++'Energy Data Entry'!U41+'Energy Data Entry'!Z41=0,"",'Energy Data Entry'!F41+'Energy Data Entry'!K41+'Energy Data Entry'!P41++'Energy Data Entry'!U41+'Energy Data Entry'!Z41)</f>
        <v>405</v>
      </c>
      <c r="N20" s="85">
        <f>IF('Energy Data Entry'!G41+'Energy Data Entry'!L41+'Energy Data Entry'!Q41+'Energy Data Entry'!V41+'Energy Data Entry'!AA41=0,"",'Energy Data Entry'!G41+'Energy Data Entry'!L41+'Energy Data Entry'!Q41+'Energy Data Entry'!V41+'Energy Data Entry'!AA41)</f>
        <v>4455</v>
      </c>
      <c r="O20" s="85">
        <f>IF('Energy Data Entry'!D41+'Energy Data Entry'!I41+'Energy Data Entry'!N41+'Energy Data Entry'!S41+'Energy Data Entry'!X41=0,"",'Energy Data Entry'!D41+'Energy Data Entry'!I41+'Energy Data Entry'!N41+'Energy Data Entry'!S41+'Energy Data Entry'!X41)</f>
        <v>17279.179200000002</v>
      </c>
      <c r="P20" s="403">
        <f>'Energy Data Entry'!AF41</f>
        <v>0</v>
      </c>
      <c r="Q20" s="151">
        <f>_xlfn.IFERROR(Table4[[#This Row],[Total electric cost]]/Table4[[#This Row],[Electric kWh usage]],"")</f>
        <v>0.08084343924326946</v>
      </c>
      <c r="R20" s="151">
        <f>_xlfn.IFERROR(Table4[[#This Row],[Electric Demand Cost]]/Table4[[#This Row],[Total Electric Demand (Billed)]],_xlfn.IFERROR(Table4[[#This Row],[Electric Demand Cost]]/Table4[[#This Row],[Total Electric Demand (Actual)]],""))</f>
        <v>11</v>
      </c>
      <c r="S20" s="85">
        <f>_xlfn.IFERROR(Table4[[#This Row],[Total Gas cost]]+Table4[[#This Row],[Total electric cost]],"")</f>
        <v>17279.179200000002</v>
      </c>
      <c r="T20" s="111"/>
      <c r="U20" s="85">
        <f>_xlfn.IFERROR(Table4[[#This Row],[Total Energy Cost]]/Table4[[#This Row],[Monthly Flow]],"")</f>
        <v>252.61957894736844</v>
      </c>
      <c r="V20" s="85">
        <f>_xlfn.IFERROR(Table4[[#This Row],[Total Energy Cost]]/Table4[[#This Row],[Total BOD removed]],"")</f>
        <v>0.13971456355987263</v>
      </c>
      <c r="W20" s="116"/>
      <c r="X20" s="86">
        <f>IF('Process Data Entry'!G22="","",'Process Data Entry'!G22)</f>
        <v>39</v>
      </c>
      <c r="Y20" s="86">
        <f>IF('Process Data Entry'!H22="","",'Process Data Entry'!H22)</f>
        <v>11</v>
      </c>
      <c r="Z20" s="86">
        <f>IF('Process Data Entry'!I22="",0,'Process Data Entry'!I22)</f>
        <v>0</v>
      </c>
      <c r="AA20" s="86">
        <f>IF('Process Data Entry'!J22="","",'Process Data Entry'!J22)</f>
        <v>2.8</v>
      </c>
      <c r="AB20" s="86">
        <f>IF('Process Data Entry'!K22="","",'Process Data Entry'!K22)</f>
        <v>1.6</v>
      </c>
      <c r="AC20" s="86">
        <f>IF('Process Data Entry'!L22="","",'Process Data Entry'!L22)</f>
        <v>9.6</v>
      </c>
      <c r="AD20" s="87">
        <f t="shared" si="0"/>
        <v>26.6</v>
      </c>
      <c r="AE20" s="87">
        <f t="shared" si="1"/>
        <v>15174.129600000002</v>
      </c>
      <c r="AF20" s="150">
        <f>IF('Process Data Entry'!M22="","",'Process Data Entry'!M22)</f>
        <v>7.4</v>
      </c>
      <c r="AG20" s="150">
        <f>IF('Process Data Entry'!N22="","",'Process Data Entry'!N22)</f>
        <v>1.3</v>
      </c>
      <c r="AH20" s="81">
        <f t="shared" si="2"/>
        <v>3479.7816000000003</v>
      </c>
    </row>
    <row r="21" spans="1:34" ht="15">
      <c r="A21" s="78">
        <v>2</v>
      </c>
      <c r="B21" s="79">
        <f>'Energy Data Entry'!B42</f>
        <v>42705</v>
      </c>
      <c r="C21" s="80">
        <f>IF(OR('Process Data Entry'!C23="",'Process Data Entry'!C23=0),"",'Process Data Entry'!C23)</f>
        <v>2.3</v>
      </c>
      <c r="D21" s="81">
        <f>IF(Table4[[#This Row],[Avg Daily Flow]]="","",_xlfn.DAYS(EOMONTH(B21,0),EOMONTH(B21,-1))*C21)</f>
        <v>71.3</v>
      </c>
      <c r="E21" s="81">
        <f>IF('Process Data Entry'!F23="","",'Process Data Entry'!F23)</f>
        <v>2977.0463999999993</v>
      </c>
      <c r="F21" s="82">
        <f>IF(Table4[[#This Row],[BOD removed]]="","",Table4[[#This Row],[BOD removed]]*_xlfn.DAYS(EOMONTH(Table4[[#This Row],[Column2]],0),EOMONTH(Table4[[#This Row],[Column2]],-1)))</f>
        <v>92288.43839999998</v>
      </c>
      <c r="G21" s="83">
        <f>IF(SUM('Energy Data Entry'!C42,'Energy Data Entry'!H42,'Energy Data Entry'!M42,'Energy Data Entry'!R42,'Energy Data Entry'!W42)=0,"",SUM('Energy Data Entry'!C42,'Energy Data Entry'!H42,'Energy Data Entry'!M42,'Energy Data Entry'!R42,'Energy Data Entry'!W42))</f>
        <v>169694</v>
      </c>
      <c r="H21" s="83">
        <f>'Energy Data Entry'!AG42</f>
        <v>0</v>
      </c>
      <c r="I21" s="83">
        <f>IF(Table4[[#This Row],[Electric kWh usage]]="","",Table4[[#This Row],[Gas kWh usage]]+Table4[[#This Row],[Electric kWh usage]])</f>
        <v>169694</v>
      </c>
      <c r="J21" s="82">
        <f>IF(OR(Table4[[#This Row],[Electric kWh usage]]="",Table4[[#This Row],[Monthly Flow]]=""),"",(Table4[[#This Row],[Electric kWh usage]]+Table4[[#This Row],[Gas kWh usage]])/Table4[[#This Row],[Monthly Flow]])</f>
        <v>2380</v>
      </c>
      <c r="K21" s="84">
        <f>_xlfn.IFERROR(IF(Table4[[#This Row],[Electric kWh usage]]="","",(Table4[[#This Row],[Electric kWh usage]]+Table4[[#This Row],[Gas kWh usage]])/Table4[[#This Row],[Total BOD removed]]),"")</f>
        <v>1.8387351974090833</v>
      </c>
      <c r="L21" s="83">
        <f>IF('Energy Data Entry'!E42+'Energy Data Entry'!J42+'Energy Data Entry'!O42+'Energy Data Entry'!T42+'Energy Data Entry'!Y42=0,"",'Energy Data Entry'!E42+'Energy Data Entry'!J42+'Energy Data Entry'!O42+'Energy Data Entry'!T42+'Energy Data Entry'!Y42)</f>
        <v>285</v>
      </c>
      <c r="M21" s="83">
        <f>IF('Energy Data Entry'!F42+'Energy Data Entry'!K42+'Energy Data Entry'!P42++'Energy Data Entry'!U42+'Energy Data Entry'!Z42=0,"",'Energy Data Entry'!F42+'Energy Data Entry'!K42+'Energy Data Entry'!P42++'Energy Data Entry'!U42+'Energy Data Entry'!Z42)</f>
        <v>335</v>
      </c>
      <c r="N21" s="85">
        <f>IF('Energy Data Entry'!G42+'Energy Data Entry'!L42+'Energy Data Entry'!Q42+'Energy Data Entry'!V42+'Energy Data Entry'!AA42=0,"",'Energy Data Entry'!G42+'Energy Data Entry'!L42+'Energy Data Entry'!Q42+'Energy Data Entry'!V42+'Energy Data Entry'!AA42)</f>
        <v>3685</v>
      </c>
      <c r="O21" s="85">
        <f>IF('Energy Data Entry'!D42+'Energy Data Entry'!I42+'Energy Data Entry'!N42+'Energy Data Entry'!S42+'Energy Data Entry'!X42=0,"",'Energy Data Entry'!D42+'Energy Data Entry'!I42+'Energy Data Entry'!N42+'Energy Data Entry'!S42+'Energy Data Entry'!X42)</f>
        <v>13866.64</v>
      </c>
      <c r="P21" s="403">
        <f>'Energy Data Entry'!AF42</f>
        <v>0</v>
      </c>
      <c r="Q21" s="151">
        <f>_xlfn.IFERROR(Table4[[#This Row],[Total electric cost]]/Table4[[#This Row],[Electric kWh usage]],"")</f>
        <v>0.08171555859370395</v>
      </c>
      <c r="R21" s="151">
        <f>_xlfn.IFERROR(Table4[[#This Row],[Electric Demand Cost]]/Table4[[#This Row],[Total Electric Demand (Billed)]],_xlfn.IFERROR(Table4[[#This Row],[Electric Demand Cost]]/Table4[[#This Row],[Total Electric Demand (Actual)]],""))</f>
        <v>11</v>
      </c>
      <c r="S21" s="85">
        <f>_xlfn.IFERROR(Table4[[#This Row],[Total Gas cost]]+Table4[[#This Row],[Total electric cost]],"")</f>
        <v>13866.64</v>
      </c>
      <c r="T21" s="111"/>
      <c r="U21" s="85">
        <f>_xlfn.IFERROR(Table4[[#This Row],[Total Energy Cost]]/Table4[[#This Row],[Monthly Flow]],"")</f>
        <v>194.48302945301543</v>
      </c>
      <c r="V21" s="85">
        <f>_xlfn.IFERROR(Table4[[#This Row],[Total Energy Cost]]/Table4[[#This Row],[Total BOD removed]],"")</f>
        <v>0.15025327376218778</v>
      </c>
      <c r="W21" s="116"/>
      <c r="X21" s="86">
        <f>IF('Process Data Entry'!G23="","",'Process Data Entry'!G23)</f>
        <v>31</v>
      </c>
      <c r="Y21" s="86">
        <f>IF('Process Data Entry'!H23="","",'Process Data Entry'!H23)</f>
        <v>15</v>
      </c>
      <c r="Z21" s="86">
        <f>IF('Process Data Entry'!I23="",0,'Process Data Entry'!I23)</f>
        <v>0</v>
      </c>
      <c r="AA21" s="86">
        <f>IF('Process Data Entry'!J23="","",'Process Data Entry'!J23)</f>
        <v>3</v>
      </c>
      <c r="AB21" s="86">
        <f>IF('Process Data Entry'!K23="","",'Process Data Entry'!K23)</f>
        <v>1.1</v>
      </c>
      <c r="AC21" s="86">
        <f>IF('Process Data Entry'!L23="","",'Process Data Entry'!L23)</f>
        <v>11.7</v>
      </c>
      <c r="AD21" s="87">
        <f t="shared" si="0"/>
        <v>16.3</v>
      </c>
      <c r="AE21" s="87">
        <f t="shared" si="1"/>
        <v>9692.6646</v>
      </c>
      <c r="AF21" s="150">
        <f>IF('Process Data Entry'!M23="","",'Process Data Entry'!M23)</f>
        <v>6.9</v>
      </c>
      <c r="AG21" s="150">
        <f>IF('Process Data Entry'!N23="","",'Process Data Entry'!N23)</f>
        <v>1.3</v>
      </c>
      <c r="AH21" s="81">
        <f t="shared" si="2"/>
        <v>3329.9952</v>
      </c>
    </row>
    <row r="22" spans="1:34" ht="15">
      <c r="A22" s="78">
        <v>2</v>
      </c>
      <c r="B22" s="79">
        <f>'Energy Data Entry'!B43</f>
        <v>42736</v>
      </c>
      <c r="C22" s="80">
        <f>IF(OR('Process Data Entry'!C24="",'Process Data Entry'!C24=0),"",'Process Data Entry'!C24)</f>
        <v>2.4</v>
      </c>
      <c r="D22" s="81">
        <f>IF(Table4[[#This Row],[Avg Daily Flow]]="","",_xlfn.DAYS(EOMONTH(B22,0),EOMONTH(B22,-1))*C22)</f>
        <v>74.39999999999999</v>
      </c>
      <c r="E22" s="81">
        <f>IF('Process Data Entry'!F24="","",'Process Data Entry'!F24)</f>
        <v>3353.6807999999996</v>
      </c>
      <c r="F22" s="82">
        <f>IF(Table4[[#This Row],[BOD removed]]="","",Table4[[#This Row],[BOD removed]]*_xlfn.DAYS(EOMONTH(Table4[[#This Row],[Column2]],0),EOMONTH(Table4[[#This Row],[Column2]],-1)))</f>
        <v>103964.10479999999</v>
      </c>
      <c r="G22" s="83">
        <f>IF(SUM('Energy Data Entry'!C43,'Energy Data Entry'!H43,'Energy Data Entry'!M43,'Energy Data Entry'!R43,'Energy Data Entry'!W43)=0,"",SUM('Energy Data Entry'!C43,'Energy Data Entry'!H43,'Energy Data Entry'!M43,'Energy Data Entry'!R43,'Energy Data Entry'!W43))</f>
        <v>186278.40000000002</v>
      </c>
      <c r="H22" s="83">
        <f>'Energy Data Entry'!AG43</f>
        <v>0</v>
      </c>
      <c r="I22" s="83">
        <f>IF(Table4[[#This Row],[Electric kWh usage]]="","",Table4[[#This Row],[Gas kWh usage]]+Table4[[#This Row],[Electric kWh usage]])</f>
        <v>186278.40000000002</v>
      </c>
      <c r="J22" s="82">
        <f>IF(OR(Table4[[#This Row],[Electric kWh usage]]="",Table4[[#This Row],[Monthly Flow]]=""),"",(Table4[[#This Row],[Electric kWh usage]]+Table4[[#This Row],[Gas kWh usage]])/Table4[[#This Row],[Monthly Flow]])</f>
        <v>2503.7419354838717</v>
      </c>
      <c r="K22" s="84">
        <f>_xlfn.IFERROR(IF(Table4[[#This Row],[Electric kWh usage]]="","",(Table4[[#This Row],[Electric kWh usage]]+Table4[[#This Row],[Gas kWh usage]])/Table4[[#This Row],[Total BOD removed]]),"")</f>
        <v>1.7917568795340606</v>
      </c>
      <c r="L22" s="83">
        <f>IF('Energy Data Entry'!E43+'Energy Data Entry'!J43+'Energy Data Entry'!O43+'Energy Data Entry'!T43+'Energy Data Entry'!Y43=0,"",'Energy Data Entry'!E43+'Energy Data Entry'!J43+'Energy Data Entry'!O43+'Energy Data Entry'!T43+'Energy Data Entry'!Y43)</f>
        <v>370</v>
      </c>
      <c r="M22" s="83">
        <f>IF('Energy Data Entry'!F43+'Energy Data Entry'!K43+'Energy Data Entry'!P43++'Energy Data Entry'!U43+'Energy Data Entry'!Z43=0,"",'Energy Data Entry'!F43+'Energy Data Entry'!K43+'Energy Data Entry'!P43++'Energy Data Entry'!U43+'Energy Data Entry'!Z43)</f>
        <v>370</v>
      </c>
      <c r="N22" s="85">
        <f>IF('Energy Data Entry'!G43+'Energy Data Entry'!L43+'Energy Data Entry'!Q43+'Energy Data Entry'!V43+'Energy Data Entry'!AA43=0,"",'Energy Data Entry'!G43+'Energy Data Entry'!L43+'Energy Data Entry'!Q43+'Energy Data Entry'!V43+'Energy Data Entry'!AA43)</f>
        <v>4070</v>
      </c>
      <c r="O22" s="85">
        <f>IF('Energy Data Entry'!D43+'Energy Data Entry'!I43+'Energy Data Entry'!N43+'Energy Data Entry'!S43+'Energy Data Entry'!X43=0,"",'Energy Data Entry'!D43+'Energy Data Entry'!I43+'Energy Data Entry'!N43+'Energy Data Entry'!S43+'Energy Data Entry'!X43)</f>
        <v>15246.704000000002</v>
      </c>
      <c r="P22" s="403">
        <f>'Energy Data Entry'!AF43</f>
        <v>0</v>
      </c>
      <c r="Q22" s="151">
        <f>_xlfn.IFERROR(Table4[[#This Row],[Total electric cost]]/Table4[[#This Row],[Electric kWh usage]],"")</f>
        <v>0.08184901738473167</v>
      </c>
      <c r="R22" s="151">
        <f>_xlfn.IFERROR(Table4[[#This Row],[Electric Demand Cost]]/Table4[[#This Row],[Total Electric Demand (Billed)]],_xlfn.IFERROR(Table4[[#This Row],[Electric Demand Cost]]/Table4[[#This Row],[Total Electric Demand (Actual)]],""))</f>
        <v>11</v>
      </c>
      <c r="S22" s="85">
        <f>_xlfn.IFERROR(Table4[[#This Row],[Total Gas cost]]+Table4[[#This Row],[Total electric cost]],"")</f>
        <v>15246.704000000002</v>
      </c>
      <c r="T22" s="111"/>
      <c r="U22" s="85">
        <f>_xlfn.IFERROR(Table4[[#This Row],[Total Energy Cost]]/Table4[[#This Row],[Monthly Flow]],"")</f>
        <v>204.9288172043011</v>
      </c>
      <c r="V22" s="85">
        <f>_xlfn.IFERROR(Table4[[#This Row],[Total Energy Cost]]/Table4[[#This Row],[Total BOD removed]],"")</f>
        <v>0.14665353998219588</v>
      </c>
      <c r="W22" s="116"/>
      <c r="X22" s="86">
        <f>IF('Process Data Entry'!G24="","",'Process Data Entry'!G24)</f>
        <v>31</v>
      </c>
      <c r="Y22" s="86">
        <f>IF('Process Data Entry'!H24="","",'Process Data Entry'!H24)</f>
        <v>14</v>
      </c>
      <c r="Z22" s="86">
        <f>IF('Process Data Entry'!I24="",0,'Process Data Entry'!I24)</f>
        <v>0</v>
      </c>
      <c r="AA22" s="86">
        <f>IF('Process Data Entry'!J24="","",'Process Data Entry'!J24)</f>
        <v>3.1</v>
      </c>
      <c r="AB22" s="86">
        <f>IF('Process Data Entry'!K24="","",'Process Data Entry'!K24)</f>
        <v>1.6</v>
      </c>
      <c r="AC22" s="86">
        <f>IF('Process Data Entry'!L24="","",'Process Data Entry'!L24)</f>
        <v>11.1</v>
      </c>
      <c r="AD22" s="87">
        <f t="shared" si="0"/>
        <v>16.8</v>
      </c>
      <c r="AE22" s="87">
        <f t="shared" si="1"/>
        <v>10424.332799999998</v>
      </c>
      <c r="AF22" s="150">
        <f>IF('Process Data Entry'!M24="","",'Process Data Entry'!M24)</f>
        <v>7</v>
      </c>
      <c r="AG22" s="150">
        <f>IF('Process Data Entry'!N24="","",'Process Data Entry'!N24)</f>
        <v>0.8</v>
      </c>
      <c r="AH22" s="81">
        <f t="shared" si="2"/>
        <v>3847.0751999999993</v>
      </c>
    </row>
    <row r="23" spans="1:34" ht="15">
      <c r="A23" s="78">
        <v>2</v>
      </c>
      <c r="B23" s="79">
        <f>'Energy Data Entry'!B44</f>
        <v>42767</v>
      </c>
      <c r="C23" s="80">
        <f>IF(OR('Process Data Entry'!C25="",'Process Data Entry'!C25=0),"",'Process Data Entry'!C25)</f>
        <v>1.82</v>
      </c>
      <c r="D23" s="81">
        <f>IF(Table4[[#This Row],[Avg Daily Flow]]="","",_xlfn.DAYS(EOMONTH(B23,0),EOMONTH(B23,-1))*C23)</f>
        <v>50.96</v>
      </c>
      <c r="E23" s="81">
        <f>IF('Process Data Entry'!F25="","",'Process Data Entry'!F25)</f>
        <v>2987.1878400000005</v>
      </c>
      <c r="F23" s="82">
        <f>IF(Table4[[#This Row],[BOD removed]]="","",Table4[[#This Row],[BOD removed]]*_xlfn.DAYS(EOMONTH(Table4[[#This Row],[Column2]],0),EOMONTH(Table4[[#This Row],[Column2]],-1)))</f>
        <v>83641.25952000002</v>
      </c>
      <c r="G23" s="83">
        <f>IF(SUM('Energy Data Entry'!C44,'Energy Data Entry'!H44,'Energy Data Entry'!M44,'Energy Data Entry'!R44,'Energy Data Entry'!W44)=0,"",SUM('Energy Data Entry'!C44,'Energy Data Entry'!H44,'Energy Data Entry'!M44,'Energy Data Entry'!R44,'Energy Data Entry'!W44))</f>
        <v>161135.52</v>
      </c>
      <c r="H23" s="83">
        <f>'Energy Data Entry'!AG44</f>
        <v>0</v>
      </c>
      <c r="I23" s="83">
        <f>IF(Table4[[#This Row],[Electric kWh usage]]="","",Table4[[#This Row],[Gas kWh usage]]+Table4[[#This Row],[Electric kWh usage]])</f>
        <v>161135.52</v>
      </c>
      <c r="J23" s="82">
        <f>IF(OR(Table4[[#This Row],[Electric kWh usage]]="",Table4[[#This Row],[Monthly Flow]]=""),"",(Table4[[#This Row],[Electric kWh usage]]+Table4[[#This Row],[Gas kWh usage]])/Table4[[#This Row],[Monthly Flow]])</f>
        <v>3161.9999999999995</v>
      </c>
      <c r="K23" s="84">
        <f>_xlfn.IFERROR(IF(Table4[[#This Row],[Electric kWh usage]]="","",(Table4[[#This Row],[Electric kWh usage]]+Table4[[#This Row],[Gas kWh usage]])/Table4[[#This Row],[Total BOD removed]]),"")</f>
        <v>1.9265075744282616</v>
      </c>
      <c r="L23" s="83">
        <f>IF('Energy Data Entry'!E44+'Energy Data Entry'!J44+'Energy Data Entry'!O44+'Energy Data Entry'!T44+'Energy Data Entry'!Y44=0,"",'Energy Data Entry'!E44+'Energy Data Entry'!J44+'Energy Data Entry'!O44+'Energy Data Entry'!T44+'Energy Data Entry'!Y44)</f>
        <v>309</v>
      </c>
      <c r="M23" s="83">
        <f>IF('Energy Data Entry'!F44+'Energy Data Entry'!K44+'Energy Data Entry'!P44++'Energy Data Entry'!U44+'Energy Data Entry'!Z44=0,"",'Energy Data Entry'!F44+'Energy Data Entry'!K44+'Energy Data Entry'!P44++'Energy Data Entry'!U44+'Energy Data Entry'!Z44)</f>
        <v>335</v>
      </c>
      <c r="N23" s="85">
        <f>IF('Energy Data Entry'!G44+'Energy Data Entry'!L44+'Energy Data Entry'!Q44+'Energy Data Entry'!V44+'Energy Data Entry'!AA44=0,"",'Energy Data Entry'!G44+'Energy Data Entry'!L44+'Energy Data Entry'!Q44+'Energy Data Entry'!V44+'Energy Data Entry'!AA44)</f>
        <v>3685</v>
      </c>
      <c r="O23" s="85">
        <f>IF('Energy Data Entry'!D44+'Energy Data Entry'!I44+'Energy Data Entry'!N44+'Energy Data Entry'!S44+'Energy Data Entry'!X44=0,"",'Energy Data Entry'!D44+'Energy Data Entry'!I44+'Energy Data Entry'!N44+'Energy Data Entry'!S44+'Energy Data Entry'!X44)</f>
        <v>13353.1312</v>
      </c>
      <c r="P23" s="403">
        <f>'Energy Data Entry'!AF44</f>
        <v>0</v>
      </c>
      <c r="Q23" s="151">
        <f>_xlfn.IFERROR(Table4[[#This Row],[Total electric cost]]/Table4[[#This Row],[Electric kWh usage]],"")</f>
        <v>0.08286894906846114</v>
      </c>
      <c r="R23" s="151">
        <f>_xlfn.IFERROR(Table4[[#This Row],[Electric Demand Cost]]/Table4[[#This Row],[Total Electric Demand (Billed)]],_xlfn.IFERROR(Table4[[#This Row],[Electric Demand Cost]]/Table4[[#This Row],[Total Electric Demand (Actual)]],""))</f>
        <v>11</v>
      </c>
      <c r="S23" s="85">
        <f>_xlfn.IFERROR(Table4[[#This Row],[Total Gas cost]]+Table4[[#This Row],[Total electric cost]],"")</f>
        <v>13353.1312</v>
      </c>
      <c r="T23" s="111"/>
      <c r="U23" s="85">
        <f>_xlfn.IFERROR(Table4[[#This Row],[Total Energy Cost]]/Table4[[#This Row],[Monthly Flow]],"")</f>
        <v>262.0316169544741</v>
      </c>
      <c r="V23" s="85">
        <f>_xlfn.IFERROR(Table4[[#This Row],[Total Energy Cost]]/Table4[[#This Row],[Total BOD removed]],"")</f>
        <v>0.1596476580653002</v>
      </c>
      <c r="W23" s="116"/>
      <c r="X23" s="86">
        <f>IF('Process Data Entry'!G25="","",'Process Data Entry'!G25)</f>
        <v>33</v>
      </c>
      <c r="Y23" s="86">
        <f>IF('Process Data Entry'!H25="","",'Process Data Entry'!H25)</f>
        <v>12</v>
      </c>
      <c r="Z23" s="86">
        <f>IF('Process Data Entry'!I25="",0,'Process Data Entry'!I25)</f>
        <v>0</v>
      </c>
      <c r="AA23" s="86">
        <f>IF('Process Data Entry'!J25="","",'Process Data Entry'!J25)</f>
        <v>3.1</v>
      </c>
      <c r="AB23" s="86">
        <f>IF('Process Data Entry'!K25="","",'Process Data Entry'!K25)</f>
        <v>0.8</v>
      </c>
      <c r="AC23" s="86">
        <f>IF('Process Data Entry'!L25="","",'Process Data Entry'!L25)</f>
        <v>21</v>
      </c>
      <c r="AD23" s="87">
        <f t="shared" si="0"/>
        <v>8.899999999999999</v>
      </c>
      <c r="AE23" s="87">
        <f t="shared" si="1"/>
        <v>3782.5569599999994</v>
      </c>
      <c r="AF23" s="150">
        <f>IF('Process Data Entry'!M25="","",'Process Data Entry'!M25)</f>
        <v>8.4</v>
      </c>
      <c r="AG23" s="150">
        <f>IF('Process Data Entry'!N25="","",'Process Data Entry'!N25)</f>
        <v>0.7</v>
      </c>
      <c r="AH23" s="81">
        <f t="shared" si="2"/>
        <v>3272.54928</v>
      </c>
    </row>
    <row r="24" spans="1:34" ht="15">
      <c r="A24" s="78">
        <v>2</v>
      </c>
      <c r="B24" s="79">
        <f>'Energy Data Entry'!B45</f>
        <v>42795</v>
      </c>
      <c r="C24" s="80">
        <f>IF(OR('Process Data Entry'!C26="",'Process Data Entry'!C26=0),"",'Process Data Entry'!C26)</f>
        <v>2.44</v>
      </c>
      <c r="D24" s="81">
        <f>IF(Table4[[#This Row],[Avg Daily Flow]]="","",_xlfn.DAYS(EOMONTH(B24,0),EOMONTH(B24,-1))*C24)</f>
        <v>75.64</v>
      </c>
      <c r="E24" s="81">
        <f>IF('Process Data Entry'!F26="","",'Process Data Entry'!F26)</f>
        <v>3610.0190399999997</v>
      </c>
      <c r="F24" s="82">
        <f>IF(Table4[[#This Row],[BOD removed]]="","",Table4[[#This Row],[BOD removed]]*_xlfn.DAYS(EOMONTH(Table4[[#This Row],[Column2]],0),EOMONTH(Table4[[#This Row],[Column2]],-1)))</f>
        <v>111910.59023999999</v>
      </c>
      <c r="G24" s="83">
        <f>IF(SUM('Energy Data Entry'!C45,'Energy Data Entry'!H45,'Energy Data Entry'!M45,'Energy Data Entry'!R45,'Energy Data Entry'!W45)=0,"",SUM('Energy Data Entry'!C45,'Energy Data Entry'!H45,'Energy Data Entry'!M45,'Energy Data Entry'!R45,'Energy Data Entry'!W45))</f>
        <v>190612.8</v>
      </c>
      <c r="H24" s="83">
        <f>'Energy Data Entry'!AG45</f>
        <v>0</v>
      </c>
      <c r="I24" s="83">
        <f>IF(Table4[[#This Row],[Electric kWh usage]]="","",Table4[[#This Row],[Gas kWh usage]]+Table4[[#This Row],[Electric kWh usage]])</f>
        <v>190612.8</v>
      </c>
      <c r="J24" s="82">
        <f>IF(OR(Table4[[#This Row],[Electric kWh usage]]="",Table4[[#This Row],[Monthly Flow]]=""),"",(Table4[[#This Row],[Electric kWh usage]]+Table4[[#This Row],[Gas kWh usage]])/Table4[[#This Row],[Monthly Flow]])</f>
        <v>2520</v>
      </c>
      <c r="K24" s="84">
        <f>_xlfn.IFERROR(IF(Table4[[#This Row],[Electric kWh usage]]="","",(Table4[[#This Row],[Electric kWh usage]]+Table4[[#This Row],[Gas kWh usage]])/Table4[[#This Row],[Total BOD removed]]),"")</f>
        <v>1.703259714663444</v>
      </c>
      <c r="L24" s="83">
        <f>IF('Energy Data Entry'!E45+'Energy Data Entry'!J45+'Energy Data Entry'!O45+'Energy Data Entry'!T45+'Energy Data Entry'!Y45=0,"",'Energy Data Entry'!E45+'Energy Data Entry'!J45+'Energy Data Entry'!O45+'Energy Data Entry'!T45+'Energy Data Entry'!Y45)</f>
        <v>348</v>
      </c>
      <c r="M24" s="83">
        <f>IF('Energy Data Entry'!F45+'Energy Data Entry'!K45+'Energy Data Entry'!P45++'Energy Data Entry'!U45+'Energy Data Entry'!Z45=0,"",'Energy Data Entry'!F45+'Energy Data Entry'!K45+'Energy Data Entry'!P45++'Energy Data Entry'!U45+'Energy Data Entry'!Z45)</f>
        <v>348</v>
      </c>
      <c r="N24" s="85">
        <f>IF('Energy Data Entry'!G45+'Energy Data Entry'!L45+'Energy Data Entry'!Q45+'Energy Data Entry'!V45+'Energy Data Entry'!AA45=0,"",'Energy Data Entry'!G45+'Energy Data Entry'!L45+'Energy Data Entry'!Q45+'Energy Data Entry'!V45+'Energy Data Entry'!AA45)</f>
        <v>3828</v>
      </c>
      <c r="O24" s="85">
        <f>IF('Energy Data Entry'!D45+'Energy Data Entry'!I45+'Energy Data Entry'!N45+'Energy Data Entry'!S45+'Energy Data Entry'!X45=0,"",'Energy Data Entry'!D45+'Energy Data Entry'!I45+'Energy Data Entry'!N45+'Energy Data Entry'!S45+'Energy Data Entry'!X45)</f>
        <v>15264.767999999998</v>
      </c>
      <c r="P24" s="403">
        <f>'Energy Data Entry'!AF45</f>
        <v>0</v>
      </c>
      <c r="Q24" s="151">
        <f>_xlfn.IFERROR(Table4[[#This Row],[Total electric cost]]/Table4[[#This Row],[Electric kWh usage]],"")</f>
        <v>0.08008259676160258</v>
      </c>
      <c r="R24" s="151">
        <f>_xlfn.IFERROR(Table4[[#This Row],[Electric Demand Cost]]/Table4[[#This Row],[Total Electric Demand (Billed)]],_xlfn.IFERROR(Table4[[#This Row],[Electric Demand Cost]]/Table4[[#This Row],[Total Electric Demand (Actual)]],""))</f>
        <v>11</v>
      </c>
      <c r="S24" s="85">
        <f>_xlfn.IFERROR(Table4[[#This Row],[Total Gas cost]]+Table4[[#This Row],[Total electric cost]],"")</f>
        <v>15264.767999999998</v>
      </c>
      <c r="T24" s="111"/>
      <c r="U24" s="85">
        <f>_xlfn.IFERROR(Table4[[#This Row],[Total Energy Cost]]/Table4[[#This Row],[Monthly Flow]],"")</f>
        <v>201.80814383923848</v>
      </c>
      <c r="V24" s="85">
        <f>_xlfn.IFERROR(Table4[[#This Row],[Total Energy Cost]]/Table4[[#This Row],[Total BOD removed]],"")</f>
        <v>0.13640146090967484</v>
      </c>
      <c r="W24" s="116"/>
      <c r="X24" s="86">
        <f>IF('Process Data Entry'!G26="","",'Process Data Entry'!G26)</f>
        <v>32</v>
      </c>
      <c r="Y24" s="86">
        <f>IF('Process Data Entry'!H26="","",'Process Data Entry'!H26)</f>
        <v>11</v>
      </c>
      <c r="Z24" s="86">
        <f>IF('Process Data Entry'!I26="",0,'Process Data Entry'!I26)</f>
        <v>0</v>
      </c>
      <c r="AA24" s="86">
        <f>IF('Process Data Entry'!J26="","",'Process Data Entry'!J26)</f>
        <v>3.2</v>
      </c>
      <c r="AB24" s="86">
        <f>IF('Process Data Entry'!K26="","",'Process Data Entry'!K26)</f>
        <v>1.4</v>
      </c>
      <c r="AC24" s="86">
        <f>IF('Process Data Entry'!L26="","",'Process Data Entry'!L26)</f>
        <v>18.2</v>
      </c>
      <c r="AD24" s="87">
        <f t="shared" si="0"/>
        <v>10.600000000000001</v>
      </c>
      <c r="AE24" s="87">
        <f t="shared" si="1"/>
        <v>6686.878560000001</v>
      </c>
      <c r="AF24" s="150">
        <f>IF('Process Data Entry'!M26="","",'Process Data Entry'!M26)</f>
        <v>8.6</v>
      </c>
      <c r="AG24" s="150">
        <f>IF('Process Data Entry'!N26="","",'Process Data Entry'!N26)</f>
        <v>0.8</v>
      </c>
      <c r="AH24" s="81">
        <f t="shared" si="2"/>
        <v>4920.53328</v>
      </c>
    </row>
    <row r="25" spans="1:34" ht="15">
      <c r="A25" s="78">
        <v>2</v>
      </c>
      <c r="B25" s="79">
        <f>'Energy Data Entry'!B46</f>
        <v>42826</v>
      </c>
      <c r="C25" s="80">
        <f>IF(OR('Process Data Entry'!C27="",'Process Data Entry'!C27=0),"",'Process Data Entry'!C27)</f>
        <v>1.62</v>
      </c>
      <c r="D25" s="81">
        <f>IF(Table4[[#This Row],[Avg Daily Flow]]="","",_xlfn.DAYS(EOMONTH(B25,0),EOMONTH(B25,-1))*C25)</f>
        <v>48.6</v>
      </c>
      <c r="E25" s="81">
        <f>IF('Process Data Entry'!F27="","",'Process Data Entry'!F27)</f>
        <v>2181.31866</v>
      </c>
      <c r="F25" s="82">
        <f>IF(Table4[[#This Row],[BOD removed]]="","",Table4[[#This Row],[BOD removed]]*_xlfn.DAYS(EOMONTH(Table4[[#This Row],[Column2]],0),EOMONTH(Table4[[#This Row],[Column2]],-1)))</f>
        <v>65439.559799999995</v>
      </c>
      <c r="G25" s="83">
        <f>IF(SUM('Energy Data Entry'!C46,'Energy Data Entry'!H46,'Energy Data Entry'!M46,'Energy Data Entry'!R46,'Energy Data Entry'!W46)=0,"",SUM('Energy Data Entry'!C46,'Energy Data Entry'!H46,'Energy Data Entry'!M46,'Energy Data Entry'!R46,'Energy Data Entry'!W46))</f>
        <v>139209.84000000003</v>
      </c>
      <c r="H25" s="83">
        <f>'Energy Data Entry'!AG46</f>
        <v>0</v>
      </c>
      <c r="I25" s="83">
        <f>IF(Table4[[#This Row],[Electric kWh usage]]="","",Table4[[#This Row],[Gas kWh usage]]+Table4[[#This Row],[Electric kWh usage]])</f>
        <v>139209.84000000003</v>
      </c>
      <c r="J25" s="82">
        <f>IF(OR(Table4[[#This Row],[Electric kWh usage]]="",Table4[[#This Row],[Monthly Flow]]=""),"",(Table4[[#This Row],[Electric kWh usage]]+Table4[[#This Row],[Gas kWh usage]])/Table4[[#This Row],[Monthly Flow]])</f>
        <v>2864.4000000000005</v>
      </c>
      <c r="K25" s="84">
        <f>_xlfn.IFERROR(IF(Table4[[#This Row],[Electric kWh usage]]="","",(Table4[[#This Row],[Electric kWh usage]]+Table4[[#This Row],[Gas kWh usage]])/Table4[[#This Row],[Total BOD removed]]),"")</f>
        <v>2.127304040941914</v>
      </c>
      <c r="L25" s="83">
        <f>IF('Energy Data Entry'!E46+'Energy Data Entry'!J46+'Energy Data Entry'!O46+'Energy Data Entry'!T46+'Energy Data Entry'!Y46=0,"",'Energy Data Entry'!E46+'Energy Data Entry'!J46+'Energy Data Entry'!O46+'Energy Data Entry'!T46+'Energy Data Entry'!Y46)</f>
        <v>234</v>
      </c>
      <c r="M25" s="83">
        <f>IF('Energy Data Entry'!F46+'Energy Data Entry'!K46+'Energy Data Entry'!P46++'Energy Data Entry'!U46+'Energy Data Entry'!Z46=0,"",'Energy Data Entry'!F46+'Energy Data Entry'!K46+'Energy Data Entry'!P46++'Energy Data Entry'!U46+'Energy Data Entry'!Z46)</f>
        <v>335</v>
      </c>
      <c r="N25" s="85">
        <f>IF('Energy Data Entry'!G46+'Energy Data Entry'!L46+'Energy Data Entry'!Q46+'Energy Data Entry'!V46+'Energy Data Entry'!AA46=0,"",'Energy Data Entry'!G46+'Energy Data Entry'!L46+'Energy Data Entry'!Q46+'Energy Data Entry'!V46+'Energy Data Entry'!AA46)</f>
        <v>3685</v>
      </c>
      <c r="O25" s="85">
        <f>IF('Energy Data Entry'!D46+'Energy Data Entry'!I46+'Energy Data Entry'!N46+'Energy Data Entry'!S46+'Energy Data Entry'!X46=0,"",'Energy Data Entry'!D46+'Energy Data Entry'!I46+'Energy Data Entry'!N46+'Energy Data Entry'!S46+'Energy Data Entry'!X46)</f>
        <v>12037.590400000001</v>
      </c>
      <c r="P25" s="403">
        <f>'Energy Data Entry'!AF46</f>
        <v>0</v>
      </c>
      <c r="Q25" s="151">
        <f>_xlfn.IFERROR(Table4[[#This Row],[Total electric cost]]/Table4[[#This Row],[Electric kWh usage]],"")</f>
        <v>0.086470829935585</v>
      </c>
      <c r="R25" s="151">
        <f>_xlfn.IFERROR(Table4[[#This Row],[Electric Demand Cost]]/Table4[[#This Row],[Total Electric Demand (Billed)]],_xlfn.IFERROR(Table4[[#This Row],[Electric Demand Cost]]/Table4[[#This Row],[Total Electric Demand (Actual)]],""))</f>
        <v>11</v>
      </c>
      <c r="S25" s="85">
        <f>_xlfn.IFERROR(Table4[[#This Row],[Total Gas cost]]+Table4[[#This Row],[Total electric cost]],"")</f>
        <v>12037.590400000001</v>
      </c>
      <c r="T25" s="111"/>
      <c r="U25" s="85">
        <f>_xlfn.IFERROR(Table4[[#This Row],[Total Energy Cost]]/Table4[[#This Row],[Monthly Flow]],"")</f>
        <v>247.68704526748974</v>
      </c>
      <c r="V25" s="85">
        <f>_xlfn.IFERROR(Table4[[#This Row],[Total Energy Cost]]/Table4[[#This Row],[Total BOD removed]],"")</f>
        <v>0.183949745945571</v>
      </c>
      <c r="W25" s="116"/>
      <c r="X25" s="86">
        <f>IF('Process Data Entry'!G27="","",'Process Data Entry'!G27)</f>
        <v>33</v>
      </c>
      <c r="Y25" s="86">
        <f>IF('Process Data Entry'!H27="","",'Process Data Entry'!H27)</f>
        <v>14</v>
      </c>
      <c r="Z25" s="86">
        <f>IF('Process Data Entry'!I27="",0,'Process Data Entry'!I27)</f>
        <v>0</v>
      </c>
      <c r="AA25" s="86">
        <f>IF('Process Data Entry'!J27="","",'Process Data Entry'!J27)</f>
        <v>2.8</v>
      </c>
      <c r="AB25" s="86">
        <f>IF('Process Data Entry'!K27="","",'Process Data Entry'!K27)</f>
        <v>0.9</v>
      </c>
      <c r="AC25" s="86">
        <f>IF('Process Data Entry'!L27="","",'Process Data Entry'!L27)</f>
        <v>11</v>
      </c>
      <c r="AD25" s="87">
        <f t="shared" si="0"/>
        <v>19.2</v>
      </c>
      <c r="AE25" s="87">
        <f t="shared" si="1"/>
        <v>7782.2208</v>
      </c>
      <c r="AF25" s="150">
        <f>IF('Process Data Entry'!M27="","",'Process Data Entry'!M27)</f>
        <v>7.8</v>
      </c>
      <c r="AG25" s="150">
        <f>IF('Process Data Entry'!N27="","",'Process Data Entry'!N27)</f>
        <v>1.5</v>
      </c>
      <c r="AH25" s="81">
        <f t="shared" si="2"/>
        <v>2553.5412</v>
      </c>
    </row>
    <row r="26" spans="1:34" ht="15">
      <c r="A26" s="78">
        <v>2</v>
      </c>
      <c r="B26" s="79">
        <f>'Energy Data Entry'!B47</f>
        <v>42856</v>
      </c>
      <c r="C26" s="80">
        <f>IF(OR('Process Data Entry'!C28="",'Process Data Entry'!C28=0),"",'Process Data Entry'!C28)</f>
        <v>2.44</v>
      </c>
      <c r="D26" s="81">
        <f>IF(Table4[[#This Row],[Avg Daily Flow]]="","",_xlfn.DAYS(EOMONTH(B26,0),EOMONTH(B26,-1))*C26)</f>
        <v>75.64</v>
      </c>
      <c r="E26" s="81">
        <f>IF('Process Data Entry'!F28="","",'Process Data Entry'!F28)</f>
        <v>2879.4683999999997</v>
      </c>
      <c r="F26" s="82">
        <f>IF(Table4[[#This Row],[BOD removed]]="","",Table4[[#This Row],[BOD removed]]*_xlfn.DAYS(EOMONTH(Table4[[#This Row],[Column2]],0),EOMONTH(Table4[[#This Row],[Column2]],-1)))</f>
        <v>89263.5204</v>
      </c>
      <c r="G26" s="83">
        <f>IF(SUM('Energy Data Entry'!C47,'Energy Data Entry'!H47,'Energy Data Entry'!M47,'Energy Data Entry'!R47,'Energy Data Entry'!W47)=0,"",SUM('Energy Data Entry'!C47,'Energy Data Entry'!H47,'Energy Data Entry'!M47,'Energy Data Entry'!R47,'Energy Data Entry'!W47))</f>
        <v>190612.8</v>
      </c>
      <c r="H26" s="83">
        <f>'Energy Data Entry'!AG47</f>
        <v>0</v>
      </c>
      <c r="I26" s="83">
        <f>IF(Table4[[#This Row],[Electric kWh usage]]="","",Table4[[#This Row],[Gas kWh usage]]+Table4[[#This Row],[Electric kWh usage]])</f>
        <v>190612.8</v>
      </c>
      <c r="J26" s="82">
        <f>IF(OR(Table4[[#This Row],[Electric kWh usage]]="",Table4[[#This Row],[Monthly Flow]]=""),"",(Table4[[#This Row],[Electric kWh usage]]+Table4[[#This Row],[Gas kWh usage]])/Table4[[#This Row],[Monthly Flow]])</f>
        <v>2520</v>
      </c>
      <c r="K26" s="84">
        <f>_xlfn.IFERROR(IF(Table4[[#This Row],[Electric kWh usage]]="","",(Table4[[#This Row],[Electric kWh usage]]+Table4[[#This Row],[Gas kWh usage]])/Table4[[#This Row],[Total BOD removed]]),"")</f>
        <v>2.135394158171696</v>
      </c>
      <c r="L26" s="83">
        <f>IF('Energy Data Entry'!E47+'Energy Data Entry'!J47+'Energy Data Entry'!O47+'Energy Data Entry'!T47+'Energy Data Entry'!Y47=0,"",'Energy Data Entry'!E47+'Energy Data Entry'!J47+'Energy Data Entry'!O47+'Energy Data Entry'!T47+'Energy Data Entry'!Y47)</f>
        <v>344</v>
      </c>
      <c r="M26" s="83">
        <f>IF('Energy Data Entry'!F47+'Energy Data Entry'!K47+'Energy Data Entry'!P47++'Energy Data Entry'!U47+'Energy Data Entry'!Z47=0,"",'Energy Data Entry'!F47+'Energy Data Entry'!K47+'Energy Data Entry'!P47++'Energy Data Entry'!U47+'Energy Data Entry'!Z47)</f>
        <v>344</v>
      </c>
      <c r="N26" s="85">
        <f>IF('Energy Data Entry'!G47+'Energy Data Entry'!L47+'Energy Data Entry'!Q47+'Energy Data Entry'!V47+'Energy Data Entry'!AA47=0,"",'Energy Data Entry'!G47+'Energy Data Entry'!L47+'Energy Data Entry'!Q47+'Energy Data Entry'!V47+'Energy Data Entry'!AA47)</f>
        <v>3784</v>
      </c>
      <c r="O26" s="85">
        <f>IF('Energy Data Entry'!D47+'Energy Data Entry'!I47+'Energy Data Entry'!N47+'Energy Data Entry'!S47+'Energy Data Entry'!X47=0,"",'Energy Data Entry'!D47+'Energy Data Entry'!I47+'Energy Data Entry'!N47+'Energy Data Entry'!S47+'Energy Data Entry'!X47)</f>
        <v>15220.767999999998</v>
      </c>
      <c r="P26" s="403">
        <f>'Energy Data Entry'!AF47</f>
        <v>0</v>
      </c>
      <c r="Q26" s="151">
        <f>_xlfn.IFERROR(Table4[[#This Row],[Total electric cost]]/Table4[[#This Row],[Electric kWh usage]],"")</f>
        <v>0.07985176231606692</v>
      </c>
      <c r="R26" s="151">
        <f>_xlfn.IFERROR(Table4[[#This Row],[Electric Demand Cost]]/Table4[[#This Row],[Total Electric Demand (Billed)]],_xlfn.IFERROR(Table4[[#This Row],[Electric Demand Cost]]/Table4[[#This Row],[Total Electric Demand (Actual)]],""))</f>
        <v>11</v>
      </c>
      <c r="S26" s="85">
        <f>_xlfn.IFERROR(Table4[[#This Row],[Total Gas cost]]+Table4[[#This Row],[Total electric cost]],"")</f>
        <v>15220.767999999998</v>
      </c>
      <c r="T26" s="111"/>
      <c r="U26" s="85">
        <f>_xlfn.IFERROR(Table4[[#This Row],[Total Energy Cost]]/Table4[[#This Row],[Monthly Flow]],"")</f>
        <v>201.2264410364886</v>
      </c>
      <c r="V26" s="85">
        <f>_xlfn.IFERROR(Table4[[#This Row],[Total Energy Cost]]/Table4[[#This Row],[Total BOD removed]],"")</f>
        <v>0.17051498676944404</v>
      </c>
      <c r="W26" s="116"/>
      <c r="X26" s="86">
        <f>IF('Process Data Entry'!G28="","",'Process Data Entry'!G28)</f>
        <v>36</v>
      </c>
      <c r="Y26" s="86">
        <f>IF('Process Data Entry'!H28="","",'Process Data Entry'!H28)</f>
        <v>11</v>
      </c>
      <c r="Z26" s="86">
        <f>IF('Process Data Entry'!I28="",0,'Process Data Entry'!I28)</f>
        <v>0</v>
      </c>
      <c r="AA26" s="86">
        <f>IF('Process Data Entry'!J28="","",'Process Data Entry'!J28)</f>
        <v>3</v>
      </c>
      <c r="AB26" s="86">
        <f>IF('Process Data Entry'!K28="","",'Process Data Entry'!K28)</f>
        <v>0.8</v>
      </c>
      <c r="AC26" s="86">
        <f>IF('Process Data Entry'!L28="","",'Process Data Entry'!L28)</f>
        <v>16.5</v>
      </c>
      <c r="AD26" s="87">
        <f t="shared" si="0"/>
        <v>16.5</v>
      </c>
      <c r="AE26" s="87">
        <f t="shared" si="1"/>
        <v>10408.820399999999</v>
      </c>
      <c r="AF26" s="150">
        <f>IF('Process Data Entry'!M28="","",'Process Data Entry'!M28)</f>
        <v>7.8</v>
      </c>
      <c r="AG26" s="150">
        <f>IF('Process Data Entry'!N28="","",'Process Data Entry'!N28)</f>
        <v>1.2</v>
      </c>
      <c r="AH26" s="81">
        <f t="shared" si="2"/>
        <v>4163.52816</v>
      </c>
    </row>
    <row r="27" spans="1:34" s="105" customFormat="1" ht="15" thickBot="1">
      <c r="A27" s="97">
        <v>2</v>
      </c>
      <c r="B27" s="98">
        <f>'Energy Data Entry'!B48</f>
        <v>42887</v>
      </c>
      <c r="C27" s="355">
        <f>IF(OR('Process Data Entry'!C29="",'Process Data Entry'!C29=0),"",'Process Data Entry'!C29)</f>
        <v>2</v>
      </c>
      <c r="D27" s="99">
        <f>IF(Table4[[#This Row],[Avg Daily Flow]]="","",_xlfn.DAYS(EOMONTH(B27,0),EOMONTH(B27,-1))*C27)</f>
        <v>60</v>
      </c>
      <c r="E27" s="99">
        <f>IF('Process Data Entry'!F29="","",'Process Data Entry'!F29)</f>
        <v>2457.798</v>
      </c>
      <c r="F27" s="100">
        <f>IF(Table4[[#This Row],[BOD removed]]="","",Table4[[#This Row],[BOD removed]]*_xlfn.DAYS(EOMONTH(Table4[[#This Row],[Column2]],0),EOMONTH(Table4[[#This Row],[Column2]],-1)))</f>
        <v>73733.93999999999</v>
      </c>
      <c r="G27" s="101">
        <f>IF(SUM('Energy Data Entry'!C48,'Energy Data Entry'!H48,'Energy Data Entry'!M48,'Energy Data Entry'!R48,'Energy Data Entry'!W48)=0,"",SUM('Energy Data Entry'!C48,'Energy Data Entry'!H48,'Energy Data Entry'!M48,'Energy Data Entry'!R48,'Energy Data Entry'!W48))</f>
        <v>157976</v>
      </c>
      <c r="H27" s="101">
        <f>'Energy Data Entry'!AG48</f>
        <v>0</v>
      </c>
      <c r="I27" s="101">
        <f>IF(Table4[[#This Row],[Electric kWh usage]]="","",Table4[[#This Row],[Gas kWh usage]]+Table4[[#This Row],[Electric kWh usage]])</f>
        <v>157976</v>
      </c>
      <c r="J27" s="100">
        <f>IF(OR(Table4[[#This Row],[Electric kWh usage]]="",Table4[[#This Row],[Monthly Flow]]=""),"",(Table4[[#This Row],[Electric kWh usage]]+Table4[[#This Row],[Gas kWh usage]])/Table4[[#This Row],[Monthly Flow]])</f>
        <v>2632.9333333333334</v>
      </c>
      <c r="K27" s="102">
        <f>_xlfn.IFERROR(IF(Table4[[#This Row],[Electric kWh usage]]="","",(Table4[[#This Row],[Electric kWh usage]]+Table4[[#This Row],[Gas kWh usage]])/Table4[[#This Row],[Total BOD removed]]),"")</f>
        <v>2.1425140172897317</v>
      </c>
      <c r="L27" s="101">
        <f>IF('Energy Data Entry'!E48+'Energy Data Entry'!J48+'Energy Data Entry'!O48+'Energy Data Entry'!T48+'Energy Data Entry'!Y48=0,"",'Energy Data Entry'!E48+'Energy Data Entry'!J48+'Energy Data Entry'!O48+'Energy Data Entry'!T48+'Energy Data Entry'!Y48)</f>
        <v>299</v>
      </c>
      <c r="M27" s="101">
        <f>IF('Energy Data Entry'!F48+'Energy Data Entry'!K48+'Energy Data Entry'!P48++'Energy Data Entry'!U48+'Energy Data Entry'!Z48=0,"",'Energy Data Entry'!F48+'Energy Data Entry'!K48+'Energy Data Entry'!P48++'Energy Data Entry'!U48+'Energy Data Entry'!Z48)</f>
        <v>335</v>
      </c>
      <c r="N27" s="103">
        <f>IF('Energy Data Entry'!G48+'Energy Data Entry'!L48+'Energy Data Entry'!Q48+'Energy Data Entry'!V48+'Energy Data Entry'!AA48=0,"",'Energy Data Entry'!G48+'Energy Data Entry'!L48+'Energy Data Entry'!Q48+'Energy Data Entry'!V48+'Energy Data Entry'!AA48)</f>
        <v>3685</v>
      </c>
      <c r="O27" s="103">
        <f>IF('Energy Data Entry'!D48+'Energy Data Entry'!I48+'Energy Data Entry'!N48+'Energy Data Entry'!S48+'Energy Data Entry'!X48=0,"",'Energy Data Entry'!D48+'Energy Data Entry'!I48+'Energy Data Entry'!N48+'Energy Data Entry'!S48+'Energy Data Entry'!X48)</f>
        <v>13163.56</v>
      </c>
      <c r="P27" s="404">
        <f>'Energy Data Entry'!AF48</f>
        <v>0</v>
      </c>
      <c r="Q27" s="152">
        <f>_xlfn.IFERROR(Table4[[#This Row],[Total electric cost]]/Table4[[#This Row],[Electric kWh usage]],"")</f>
        <v>0.08332632804983035</v>
      </c>
      <c r="R27" s="152">
        <f>_xlfn.IFERROR(Table4[[#This Row],[Electric Demand Cost]]/Table4[[#This Row],[Total Electric Demand (Billed)]],_xlfn.IFERROR(Table4[[#This Row],[Electric Demand Cost]]/Table4[[#This Row],[Total Electric Demand (Actual)]],""))</f>
        <v>11</v>
      </c>
      <c r="S27" s="103">
        <f>_xlfn.IFERROR(Table4[[#This Row],[Total Gas cost]]+Table4[[#This Row],[Total electric cost]],"")</f>
        <v>13163.56</v>
      </c>
      <c r="T27" s="112"/>
      <c r="U27" s="103">
        <f>_xlfn.IFERROR(Table4[[#This Row],[Total Energy Cost]]/Table4[[#This Row],[Monthly Flow]],"")</f>
        <v>219.39266666666666</v>
      </c>
      <c r="V27" s="103">
        <f>_xlfn.IFERROR(Table4[[#This Row],[Total Energy Cost]]/Table4[[#This Row],[Total BOD removed]],"")</f>
        <v>0.17852782585604407</v>
      </c>
      <c r="W27" s="356"/>
      <c r="X27" s="104">
        <f>IF('Process Data Entry'!G29="","",'Process Data Entry'!G29)</f>
        <v>39</v>
      </c>
      <c r="Y27" s="104">
        <f>IF('Process Data Entry'!H29="","",'Process Data Entry'!H29)</f>
        <v>14</v>
      </c>
      <c r="Z27" s="104">
        <f>IF('Process Data Entry'!I29="",0,'Process Data Entry'!I29)</f>
        <v>0</v>
      </c>
      <c r="AA27" s="104">
        <f>IF('Process Data Entry'!J29="","",'Process Data Entry'!J29)</f>
        <v>3.2</v>
      </c>
      <c r="AB27" s="104">
        <f>IF('Process Data Entry'!K29="","",'Process Data Entry'!K29)</f>
        <v>1.5</v>
      </c>
      <c r="AC27" s="104">
        <f>IF('Process Data Entry'!L29="","",'Process Data Entry'!L29)</f>
        <v>11.6</v>
      </c>
      <c r="AD27" s="357">
        <f t="shared" si="0"/>
        <v>24.2</v>
      </c>
      <c r="AE27" s="357">
        <f t="shared" si="1"/>
        <v>12109.68</v>
      </c>
      <c r="AF27" s="358">
        <f>IF('Process Data Entry'!M29="","",'Process Data Entry'!M29)</f>
        <v>8.5</v>
      </c>
      <c r="AG27" s="358">
        <f>IF('Process Data Entry'!N29="","",'Process Data Entry'!N29)</f>
        <v>0.7</v>
      </c>
      <c r="AH27" s="99">
        <f t="shared" si="2"/>
        <v>3903.12</v>
      </c>
    </row>
    <row r="28" spans="1:34" ht="15">
      <c r="A28" s="89">
        <v>3</v>
      </c>
      <c r="B28" s="106">
        <f>'Energy Data Entry'!B49</f>
        <v>42917</v>
      </c>
      <c r="C28" s="359">
        <f>IF(OR('Process Data Entry'!C30="",'Process Data Entry'!C30=0),"",'Process Data Entry'!C30)</f>
        <v>1.88</v>
      </c>
      <c r="D28" s="91">
        <f>IF(Table4[[#This Row],[Avg Daily Flow]]="","",_xlfn.DAYS(EOMONTH(B28,0),EOMONTH(B28,-1))*C28)</f>
        <v>58.279999999999994</v>
      </c>
      <c r="E28" s="91">
        <f>IF('Process Data Entry'!F30="","",'Process Data Entry'!F30)</f>
        <v>2989.2394799999997</v>
      </c>
      <c r="F28" s="92">
        <f>IF(Table4[[#This Row],[BOD removed]]="","",Table4[[#This Row],[BOD removed]]*_xlfn.DAYS(EOMONTH(Table4[[#This Row],[Column2]],0),EOMONTH(Table4[[#This Row],[Column2]],-1)))</f>
        <v>92666.42387999999</v>
      </c>
      <c r="G28" s="93">
        <f>IF(SUM('Energy Data Entry'!C49,'Energy Data Entry'!H49,'Energy Data Entry'!M49,'Energy Data Entry'!R49,'Energy Data Entry'!W49)=0,"",SUM('Energy Data Entry'!C49,'Energy Data Entry'!H49,'Energy Data Entry'!M49,'Energy Data Entry'!R49,'Energy Data Entry'!W49))</f>
        <v>168895</v>
      </c>
      <c r="H28" s="93">
        <f>'Energy Data Entry'!AG49</f>
        <v>0</v>
      </c>
      <c r="I28" s="93">
        <f>IF(Table4[[#This Row],[Electric kWh usage]]="","",Table4[[#This Row],[Gas kWh usage]]+Table4[[#This Row],[Electric kWh usage]])</f>
        <v>168895</v>
      </c>
      <c r="J28" s="92">
        <f>IF(OR(Table4[[#This Row],[Electric kWh usage]]="",Table4[[#This Row],[Monthly Flow]]=""),"",(Table4[[#This Row],[Electric kWh usage]]+Table4[[#This Row],[Gas kWh usage]])/Table4[[#This Row],[Monthly Flow]])</f>
        <v>2897.99245024022</v>
      </c>
      <c r="K28" s="94">
        <f>_xlfn.IFERROR(IF(Table4[[#This Row],[Electric kWh usage]]="","",(Table4[[#This Row],[Electric kWh usage]]+Table4[[#This Row],[Gas kWh usage]])/Table4[[#This Row],[Total BOD removed]]),"")</f>
        <v>1.82261268891431</v>
      </c>
      <c r="L28" s="93">
        <f>IF('Energy Data Entry'!E49+'Energy Data Entry'!J49+'Energy Data Entry'!O49+'Energy Data Entry'!T49+'Energy Data Entry'!Y49=0,"",'Energy Data Entry'!E49+'Energy Data Entry'!J49+'Energy Data Entry'!O49+'Energy Data Entry'!T49+'Energy Data Entry'!Y49)</f>
        <v>293</v>
      </c>
      <c r="M28" s="93">
        <f>IF('Energy Data Entry'!F49+'Energy Data Entry'!K49+'Energy Data Entry'!P49++'Energy Data Entry'!U49+'Energy Data Entry'!Z49=0,"",'Energy Data Entry'!F49+'Energy Data Entry'!K49+'Energy Data Entry'!P49++'Energy Data Entry'!U49+'Energy Data Entry'!Z49)</f>
        <v>335</v>
      </c>
      <c r="N28" s="95">
        <f>IF('Energy Data Entry'!G49+'Energy Data Entry'!L49+'Energy Data Entry'!Q49+'Energy Data Entry'!V49+'Energy Data Entry'!AA49=0,"",'Energy Data Entry'!G49+'Energy Data Entry'!L49+'Energy Data Entry'!Q49+'Energy Data Entry'!V49+'Energy Data Entry'!AA49)</f>
        <v>3979</v>
      </c>
      <c r="O28" s="95">
        <f>IF('Energy Data Entry'!D49+'Energy Data Entry'!I49+'Energy Data Entry'!N49+'Energy Data Entry'!S49+'Energy Data Entry'!X49=0,"",'Energy Data Entry'!D49+'Energy Data Entry'!I49+'Energy Data Entry'!N49+'Energy Data Entry'!S49+'Energy Data Entry'!X49)</f>
        <v>14957.175000000001</v>
      </c>
      <c r="P28" s="405">
        <f>'Energy Data Entry'!AF49</f>
        <v>0</v>
      </c>
      <c r="Q28" s="153">
        <f>_xlfn.IFERROR(Table4[[#This Row],[Total electric cost]]/Table4[[#This Row],[Electric kWh usage]],"")</f>
        <v>0.08855901595665946</v>
      </c>
      <c r="R28" s="153">
        <f>_xlfn.IFERROR(Table4[[#This Row],[Electric Demand Cost]]/Table4[[#This Row],[Total Electric Demand (Billed)]],_xlfn.IFERROR(Table4[[#This Row],[Electric Demand Cost]]/Table4[[#This Row],[Total Electric Demand (Actual)]],""))</f>
        <v>11.877611940298507</v>
      </c>
      <c r="S28" s="95">
        <f>_xlfn.IFERROR(Table4[[#This Row],[Total Gas cost]]+Table4[[#This Row],[Total electric cost]],"")</f>
        <v>14957.175000000001</v>
      </c>
      <c r="T28" s="113"/>
      <c r="U28" s="95">
        <f>_xlfn.IFERROR(Table4[[#This Row],[Total Energy Cost]]/Table4[[#This Row],[Monthly Flow]],"")</f>
        <v>256.6433596431023</v>
      </c>
      <c r="V28" s="95">
        <f>_xlfn.IFERROR(Table4[[#This Row],[Total Energy Cost]]/Table4[[#This Row],[Total BOD removed]],"")</f>
        <v>0.16140878620037238</v>
      </c>
      <c r="W28" s="116"/>
      <c r="X28" s="96">
        <f>IF('Process Data Entry'!G30="","",'Process Data Entry'!G30)</f>
        <v>39</v>
      </c>
      <c r="Y28" s="96">
        <f>IF('Process Data Entry'!H30="","",'Process Data Entry'!H30)</f>
        <v>16</v>
      </c>
      <c r="Z28" s="96">
        <f>IF('Process Data Entry'!I30="",0,'Process Data Entry'!I30)</f>
        <v>0</v>
      </c>
      <c r="AA28" s="96">
        <f>IF('Process Data Entry'!J30="","",'Process Data Entry'!J30)</f>
        <v>2.9</v>
      </c>
      <c r="AB28" s="96">
        <f>IF('Process Data Entry'!K30="","",'Process Data Entry'!K30)</f>
        <v>1.2</v>
      </c>
      <c r="AC28" s="96">
        <f>IF('Process Data Entry'!L30="","",'Process Data Entry'!L30)</f>
        <v>11.5</v>
      </c>
      <c r="AD28" s="360">
        <f t="shared" si="0"/>
        <v>24.6</v>
      </c>
      <c r="AE28" s="360">
        <f t="shared" si="1"/>
        <v>11956.957919999999</v>
      </c>
      <c r="AF28" s="361">
        <f>IF('Process Data Entry'!M30="","",'Process Data Entry'!M30)</f>
        <v>7.5</v>
      </c>
      <c r="AG28" s="361">
        <f>IF('Process Data Entry'!N30="","",'Process Data Entry'!N30)</f>
        <v>1.3</v>
      </c>
      <c r="AH28" s="91">
        <f t="shared" si="2"/>
        <v>3013.5422399999998</v>
      </c>
    </row>
    <row r="29" spans="1:34" ht="15">
      <c r="A29" s="78">
        <v>3</v>
      </c>
      <c r="B29" s="88">
        <f>'Energy Data Entry'!B50</f>
        <v>42948</v>
      </c>
      <c r="C29" s="80">
        <f>IF(OR('Process Data Entry'!C31="",'Process Data Entry'!C31=0),"",'Process Data Entry'!C31)</f>
        <v>2.46</v>
      </c>
      <c r="D29" s="81">
        <f>IF(Table4[[#This Row],[Avg Daily Flow]]="","",_xlfn.DAYS(EOMONTH(B29,0),EOMONTH(B29,-1))*C29)</f>
        <v>76.26</v>
      </c>
      <c r="E29" s="81">
        <f>IF('Process Data Entry'!F31="","",'Process Data Entry'!F31)</f>
        <v>3712.4425800000004</v>
      </c>
      <c r="F29" s="82">
        <f>IF(Table4[[#This Row],[BOD removed]]="","",Table4[[#This Row],[BOD removed]]*_xlfn.DAYS(EOMONTH(Table4[[#This Row],[Column2]],0),EOMONTH(Table4[[#This Row],[Column2]],-1)))</f>
        <v>115085.71998000001</v>
      </c>
      <c r="G29" s="83">
        <f>IF(SUM('Energy Data Entry'!C50,'Energy Data Entry'!H50,'Energy Data Entry'!M50,'Energy Data Entry'!R50,'Energy Data Entry'!W50)=0,"",SUM('Energy Data Entry'!C50,'Energy Data Entry'!H50,'Energy Data Entry'!M50,'Energy Data Entry'!R50,'Energy Data Entry'!W50))</f>
        <v>167378</v>
      </c>
      <c r="H29" s="83">
        <f>'Energy Data Entry'!AG50</f>
        <v>0</v>
      </c>
      <c r="I29" s="83">
        <f>IF(Table4[[#This Row],[Electric kWh usage]]="","",Table4[[#This Row],[Gas kWh usage]]+Table4[[#This Row],[Electric kWh usage]])</f>
        <v>167378</v>
      </c>
      <c r="J29" s="82">
        <f>IF(OR(Table4[[#This Row],[Electric kWh usage]]="",Table4[[#This Row],[Monthly Flow]]=""),"",(Table4[[#This Row],[Electric kWh usage]]+Table4[[#This Row],[Gas kWh usage]])/Table4[[#This Row],[Monthly Flow]])</f>
        <v>2194.8334644636766</v>
      </c>
      <c r="K29" s="84">
        <f>_xlfn.IFERROR(IF(Table4[[#This Row],[Electric kWh usage]]="","",(Table4[[#This Row],[Electric kWh usage]]+Table4[[#This Row],[Gas kWh usage]])/Table4[[#This Row],[Total BOD removed]]),"")</f>
        <v>1.4543767900056368</v>
      </c>
      <c r="L29" s="83">
        <f>IF('Energy Data Entry'!E50+'Energy Data Entry'!J50+'Energy Data Entry'!O50+'Energy Data Entry'!T50+'Energy Data Entry'!Y50=0,"",'Energy Data Entry'!E50+'Energy Data Entry'!J50+'Energy Data Entry'!O50+'Energy Data Entry'!T50+'Energy Data Entry'!Y50)</f>
        <v>294</v>
      </c>
      <c r="M29" s="83">
        <f>IF('Energy Data Entry'!F50+'Energy Data Entry'!K50+'Energy Data Entry'!P50++'Energy Data Entry'!U50+'Energy Data Entry'!Z50=0,"",'Energy Data Entry'!F50+'Energy Data Entry'!K50+'Energy Data Entry'!P50++'Energy Data Entry'!U50+'Energy Data Entry'!Z50)</f>
        <v>335</v>
      </c>
      <c r="N29" s="85">
        <f>IF('Energy Data Entry'!G50+'Energy Data Entry'!L50+'Energy Data Entry'!Q50+'Energy Data Entry'!V50+'Energy Data Entry'!AA50=0,"",'Energy Data Entry'!G50+'Energy Data Entry'!L50+'Energy Data Entry'!Q50+'Energy Data Entry'!V50+'Energy Data Entry'!AA50)</f>
        <v>4243.5</v>
      </c>
      <c r="O29" s="85">
        <f>IF('Energy Data Entry'!D50+'Energy Data Entry'!I50+'Energy Data Entry'!N50+'Energy Data Entry'!S50+'Energy Data Entry'!X50=0,"",'Energy Data Entry'!D50+'Energy Data Entry'!I50+'Energy Data Entry'!N50+'Energy Data Entry'!S50+'Energy Data Entry'!X50)</f>
        <v>15123.07</v>
      </c>
      <c r="P29" s="403">
        <f>'Energy Data Entry'!AF50</f>
        <v>0</v>
      </c>
      <c r="Q29" s="151">
        <f>_xlfn.IFERROR(Table4[[#This Row],[Total electric cost]]/Table4[[#This Row],[Electric kWh usage]],"")</f>
        <v>0.0903527942740384</v>
      </c>
      <c r="R29" s="151">
        <f>_xlfn.IFERROR(Table4[[#This Row],[Electric Demand Cost]]/Table4[[#This Row],[Total Electric Demand (Billed)]],_xlfn.IFERROR(Table4[[#This Row],[Electric Demand Cost]]/Table4[[#This Row],[Total Electric Demand (Actual)]],""))</f>
        <v>12.667164179104478</v>
      </c>
      <c r="S29" s="85">
        <f>_xlfn.IFERROR(Table4[[#This Row],[Total Gas cost]]+Table4[[#This Row],[Total electric cost]],"")</f>
        <v>15123.07</v>
      </c>
      <c r="T29" s="111"/>
      <c r="U29" s="85">
        <f>_xlfn.IFERROR(Table4[[#This Row],[Total Energy Cost]]/Table4[[#This Row],[Monthly Flow]],"")</f>
        <v>198.30933648046155</v>
      </c>
      <c r="V29" s="85">
        <f>_xlfn.IFERROR(Table4[[#This Row],[Total Energy Cost]]/Table4[[#This Row],[Total BOD removed]],"")</f>
        <v>0.13140700690431567</v>
      </c>
      <c r="W29" s="116"/>
      <c r="X29" s="86">
        <f>IF('Process Data Entry'!G31="","",'Process Data Entry'!G31)</f>
        <v>31</v>
      </c>
      <c r="Y29" s="86">
        <f>IF('Process Data Entry'!H31="","",'Process Data Entry'!H31)</f>
        <v>18</v>
      </c>
      <c r="Z29" s="86">
        <f>IF('Process Data Entry'!I31="",0,'Process Data Entry'!I31)</f>
        <v>0</v>
      </c>
      <c r="AA29" s="86">
        <f>IF('Process Data Entry'!J31="","",'Process Data Entry'!J31)</f>
        <v>2.8</v>
      </c>
      <c r="AB29" s="86">
        <f>IF('Process Data Entry'!K31="","",'Process Data Entry'!K31)</f>
        <v>0.8</v>
      </c>
      <c r="AC29" s="86">
        <f>IF('Process Data Entry'!L31="","",'Process Data Entry'!L31)</f>
        <v>9.6</v>
      </c>
      <c r="AD29" s="87">
        <f t="shared" si="0"/>
        <v>18.6</v>
      </c>
      <c r="AE29" s="87">
        <f t="shared" si="1"/>
        <v>11829.75624</v>
      </c>
      <c r="AF29" s="150">
        <f>IF('Process Data Entry'!M31="","",'Process Data Entry'!M31)</f>
        <v>8.3</v>
      </c>
      <c r="AG29" s="150">
        <f>IF('Process Data Entry'!N31="","",'Process Data Entry'!N31)</f>
        <v>1.1</v>
      </c>
      <c r="AH29" s="81">
        <f t="shared" si="2"/>
        <v>4579.260480000001</v>
      </c>
    </row>
    <row r="30" spans="1:34" ht="15">
      <c r="A30" s="78">
        <v>3</v>
      </c>
      <c r="B30" s="88">
        <f>'Energy Data Entry'!B51</f>
        <v>42979</v>
      </c>
      <c r="C30" s="80">
        <f>IF(OR('Process Data Entry'!C32="",'Process Data Entry'!C32=0),"",'Process Data Entry'!C32)</f>
        <v>2.18</v>
      </c>
      <c r="D30" s="81">
        <f>IF(Table4[[#This Row],[Avg Daily Flow]]="","",_xlfn.DAYS(EOMONTH(B30,0),EOMONTH(B30,-1))*C30)</f>
        <v>65.4</v>
      </c>
      <c r="E30" s="81">
        <f>IF('Process Data Entry'!F32="","",'Process Data Entry'!F32)</f>
        <v>2955.3540599999997</v>
      </c>
      <c r="F30" s="82">
        <f>IF(Table4[[#This Row],[BOD removed]]="","",Table4[[#This Row],[BOD removed]]*_xlfn.DAYS(EOMONTH(Table4[[#This Row],[Column2]],0),EOMONTH(Table4[[#This Row],[Column2]],-1)))</f>
        <v>88660.6218</v>
      </c>
      <c r="G30" s="83">
        <f>IF(SUM('Energy Data Entry'!C51,'Energy Data Entry'!H51,'Energy Data Entry'!M51,'Energy Data Entry'!R51,'Energy Data Entry'!W51)=0,"",SUM('Energy Data Entry'!C51,'Energy Data Entry'!H51,'Energy Data Entry'!M51,'Energy Data Entry'!R51,'Energy Data Entry'!W51))</f>
        <v>151568</v>
      </c>
      <c r="H30" s="83">
        <f>'Energy Data Entry'!AG51</f>
        <v>0</v>
      </c>
      <c r="I30" s="83">
        <f>IF(Table4[[#This Row],[Electric kWh usage]]="","",Table4[[#This Row],[Gas kWh usage]]+Table4[[#This Row],[Electric kWh usage]])</f>
        <v>151568</v>
      </c>
      <c r="J30" s="82">
        <f>IF(OR(Table4[[#This Row],[Electric kWh usage]]="",Table4[[#This Row],[Monthly Flow]]=""),"",(Table4[[#This Row],[Electric kWh usage]]+Table4[[#This Row],[Gas kWh usage]])/Table4[[#This Row],[Monthly Flow]])</f>
        <v>2317.5535168195715</v>
      </c>
      <c r="K30" s="84">
        <f>_xlfn.IFERROR(IF(Table4[[#This Row],[Electric kWh usage]]="","",(Table4[[#This Row],[Electric kWh usage]]+Table4[[#This Row],[Gas kWh usage]])/Table4[[#This Row],[Total BOD removed]]),"")</f>
        <v>1.7095300813692242</v>
      </c>
      <c r="L30" s="83">
        <f>IF('Energy Data Entry'!E51+'Energy Data Entry'!J51+'Energy Data Entry'!O51+'Energy Data Entry'!T51+'Energy Data Entry'!Y51=0,"",'Energy Data Entry'!E51+'Energy Data Entry'!J51+'Energy Data Entry'!O51+'Energy Data Entry'!T51+'Energy Data Entry'!Y51)</f>
        <v>243</v>
      </c>
      <c r="M30" s="83">
        <f>IF('Energy Data Entry'!F51+'Energy Data Entry'!K51+'Energy Data Entry'!P51++'Energy Data Entry'!U51+'Energy Data Entry'!Z51=0,"",'Energy Data Entry'!F51+'Energy Data Entry'!K51+'Energy Data Entry'!P51++'Energy Data Entry'!U51+'Energy Data Entry'!Z51)</f>
        <v>284</v>
      </c>
      <c r="N30" s="85">
        <f>IF('Energy Data Entry'!G51+'Energy Data Entry'!L51+'Energy Data Entry'!Q51+'Energy Data Entry'!V51+'Energy Data Entry'!AA51=0,"",'Energy Data Entry'!G51+'Energy Data Entry'!L51+'Energy Data Entry'!Q51+'Energy Data Entry'!V51+'Energy Data Entry'!AA51)</f>
        <v>3473</v>
      </c>
      <c r="O30" s="85">
        <f>IF('Energy Data Entry'!D51+'Energy Data Entry'!I51+'Energy Data Entry'!N51+'Energy Data Entry'!S51+'Energy Data Entry'!X51=0,"",'Energy Data Entry'!D51+'Energy Data Entry'!I51+'Energy Data Entry'!N51+'Energy Data Entry'!S51+'Energy Data Entry'!X51)</f>
        <v>13324.92</v>
      </c>
      <c r="P30" s="403">
        <f>'Energy Data Entry'!AF51</f>
        <v>0</v>
      </c>
      <c r="Q30" s="151">
        <f>_xlfn.IFERROR(Table4[[#This Row],[Total electric cost]]/Table4[[#This Row],[Electric kWh usage]],"")</f>
        <v>0.08791380766388683</v>
      </c>
      <c r="R30" s="151">
        <f>_xlfn.IFERROR(Table4[[#This Row],[Electric Demand Cost]]/Table4[[#This Row],[Total Electric Demand (Billed)]],_xlfn.IFERROR(Table4[[#This Row],[Electric Demand Cost]]/Table4[[#This Row],[Total Electric Demand (Actual)]],""))</f>
        <v>12.22887323943662</v>
      </c>
      <c r="S30" s="85">
        <f>_xlfn.IFERROR(Table4[[#This Row],[Total Gas cost]]+Table4[[#This Row],[Total electric cost]],"")</f>
        <v>13324.92</v>
      </c>
      <c r="T30" s="111"/>
      <c r="U30" s="85">
        <f>_xlfn.IFERROR(Table4[[#This Row],[Total Energy Cost]]/Table4[[#This Row],[Monthly Flow]],"")</f>
        <v>203.74495412844036</v>
      </c>
      <c r="V30" s="85">
        <f>_xlfn.IFERROR(Table4[[#This Row],[Total Energy Cost]]/Table4[[#This Row],[Total BOD removed]],"")</f>
        <v>0.15029129876912278</v>
      </c>
      <c r="W30" s="116"/>
      <c r="X30" s="86">
        <f>IF('Process Data Entry'!G32="","",'Process Data Entry'!G32)</f>
        <v>37</v>
      </c>
      <c r="Y30" s="86">
        <f>IF('Process Data Entry'!H32="","",'Process Data Entry'!H32)</f>
        <v>14</v>
      </c>
      <c r="Z30" s="86">
        <f>IF('Process Data Entry'!I32="",0,'Process Data Entry'!I32)</f>
        <v>0</v>
      </c>
      <c r="AA30" s="86">
        <f>IF('Process Data Entry'!J32="","",'Process Data Entry'!J32)</f>
        <v>2.9</v>
      </c>
      <c r="AB30" s="86">
        <f>IF('Process Data Entry'!K32="","",'Process Data Entry'!K32)</f>
        <v>1.4</v>
      </c>
      <c r="AC30" s="86">
        <f>IF('Process Data Entry'!L32="","",'Process Data Entry'!L32)</f>
        <v>9.8</v>
      </c>
      <c r="AD30" s="87">
        <f t="shared" si="0"/>
        <v>24.299999999999997</v>
      </c>
      <c r="AE30" s="87">
        <f t="shared" si="1"/>
        <v>13254.0948</v>
      </c>
      <c r="AF30" s="150">
        <f>IF('Process Data Entry'!M32="","",'Process Data Entry'!M32)</f>
        <v>7.7</v>
      </c>
      <c r="AG30" s="150">
        <f>IF('Process Data Entry'!N32="","",'Process Data Entry'!N32)</f>
        <v>1.1</v>
      </c>
      <c r="AH30" s="81">
        <f t="shared" si="2"/>
        <v>3599.8776000000003</v>
      </c>
    </row>
    <row r="31" spans="1:34" ht="15">
      <c r="A31" s="78">
        <v>3</v>
      </c>
      <c r="B31" s="88">
        <f>'Energy Data Entry'!B52</f>
        <v>43009</v>
      </c>
      <c r="C31" s="80">
        <f>IF(OR('Process Data Entry'!C33="",'Process Data Entry'!C33=0),"",'Process Data Entry'!C33)</f>
        <v>1.68</v>
      </c>
      <c r="D31" s="81">
        <f>IF(Table4[[#This Row],[Avg Daily Flow]]="","",_xlfn.DAYS(EOMONTH(B31,0),EOMONTH(B31,-1))*C31)</f>
        <v>52.08</v>
      </c>
      <c r="E31" s="81">
        <f>IF('Process Data Entry'!F33="","",'Process Data Entry'!F33)</f>
        <v>2647.4162400000005</v>
      </c>
      <c r="F31" s="82">
        <f>IF(Table4[[#This Row],[BOD removed]]="","",Table4[[#This Row],[BOD removed]]*_xlfn.DAYS(EOMONTH(Table4[[#This Row],[Column2]],0),EOMONTH(Table4[[#This Row],[Column2]],-1)))</f>
        <v>82069.90344000001</v>
      </c>
      <c r="G31" s="83">
        <f>IF(SUM('Energy Data Entry'!C52,'Energy Data Entry'!H52,'Energy Data Entry'!M52,'Energy Data Entry'!R52,'Energy Data Entry'!W52)=0,"",SUM('Energy Data Entry'!C52,'Energy Data Entry'!H52,'Energy Data Entry'!M52,'Energy Data Entry'!R52,'Energy Data Entry'!W52))</f>
        <v>116847</v>
      </c>
      <c r="H31" s="83">
        <f>'Energy Data Entry'!AG52</f>
        <v>0</v>
      </c>
      <c r="I31" s="83">
        <f>IF(Table4[[#This Row],[Electric kWh usage]]="","",Table4[[#This Row],[Gas kWh usage]]+Table4[[#This Row],[Electric kWh usage]])</f>
        <v>116847</v>
      </c>
      <c r="J31" s="82">
        <f>IF(OR(Table4[[#This Row],[Electric kWh usage]]="",Table4[[#This Row],[Monthly Flow]]=""),"",(Table4[[#This Row],[Electric kWh usage]]+Table4[[#This Row],[Gas kWh usage]])/Table4[[#This Row],[Monthly Flow]])</f>
        <v>2243.60599078341</v>
      </c>
      <c r="K31" s="84">
        <f>_xlfn.IFERROR(IF(Table4[[#This Row],[Electric kWh usage]]="","",(Table4[[#This Row],[Electric kWh usage]]+Table4[[#This Row],[Gas kWh usage]])/Table4[[#This Row],[Total BOD removed]]),"")</f>
        <v>1.423749695105039</v>
      </c>
      <c r="L31" s="83">
        <f>IF('Energy Data Entry'!E52+'Energy Data Entry'!J52+'Energy Data Entry'!O52+'Energy Data Entry'!T52+'Energy Data Entry'!Y52=0,"",'Energy Data Entry'!E52+'Energy Data Entry'!J52+'Energy Data Entry'!O52+'Energy Data Entry'!T52+'Energy Data Entry'!Y52)</f>
        <v>211</v>
      </c>
      <c r="M31" s="83">
        <f>IF('Energy Data Entry'!F52+'Energy Data Entry'!K52+'Energy Data Entry'!P52++'Energy Data Entry'!U52+'Energy Data Entry'!Z52=0,"",'Energy Data Entry'!F52+'Energy Data Entry'!K52+'Energy Data Entry'!P52++'Energy Data Entry'!U52+'Energy Data Entry'!Z52)</f>
        <v>284</v>
      </c>
      <c r="N31" s="85">
        <f>IF('Energy Data Entry'!G52+'Energy Data Entry'!L52+'Energy Data Entry'!Q52+'Energy Data Entry'!V52+'Energy Data Entry'!AA52=0,"",'Energy Data Entry'!G52+'Energy Data Entry'!L52+'Energy Data Entry'!Q52+'Energy Data Entry'!V52+'Energy Data Entry'!AA52)</f>
        <v>3266</v>
      </c>
      <c r="O31" s="85">
        <f>IF('Energy Data Entry'!D52+'Energy Data Entry'!I52+'Energy Data Entry'!N52+'Energy Data Entry'!S52+'Energy Data Entry'!X52=0,"",'Energy Data Entry'!D52+'Energy Data Entry'!I52+'Energy Data Entry'!N52+'Energy Data Entry'!S52+'Energy Data Entry'!X52)</f>
        <v>10861.055</v>
      </c>
      <c r="P31" s="403">
        <f>'Energy Data Entry'!AF52</f>
        <v>0</v>
      </c>
      <c r="Q31" s="151">
        <f>_xlfn.IFERROR(Table4[[#This Row],[Total electric cost]]/Table4[[#This Row],[Electric kWh usage]],"")</f>
        <v>0.09295108132857498</v>
      </c>
      <c r="R31" s="151">
        <f>_xlfn.IFERROR(Table4[[#This Row],[Electric Demand Cost]]/Table4[[#This Row],[Total Electric Demand (Billed)]],_xlfn.IFERROR(Table4[[#This Row],[Electric Demand Cost]]/Table4[[#This Row],[Total Electric Demand (Actual)]],""))</f>
        <v>11.5</v>
      </c>
      <c r="S31" s="85">
        <f>_xlfn.IFERROR(Table4[[#This Row],[Total Gas cost]]+Table4[[#This Row],[Total electric cost]],"")</f>
        <v>10861.055</v>
      </c>
      <c r="T31" s="111"/>
      <c r="U31" s="85">
        <f>_xlfn.IFERROR(Table4[[#This Row],[Total Energy Cost]]/Table4[[#This Row],[Monthly Flow]],"")</f>
        <v>208.5456029185868</v>
      </c>
      <c r="V31" s="85">
        <f>_xlfn.IFERROR(Table4[[#This Row],[Total Energy Cost]]/Table4[[#This Row],[Total BOD removed]],"")</f>
        <v>0.1323390737012423</v>
      </c>
      <c r="W31" s="116"/>
      <c r="X31" s="86">
        <f>IF('Process Data Entry'!G33="","",'Process Data Entry'!G33)</f>
        <v>39</v>
      </c>
      <c r="Y31" s="86">
        <f>IF('Process Data Entry'!H33="","",'Process Data Entry'!H33)</f>
        <v>11</v>
      </c>
      <c r="Z31" s="86">
        <f>IF('Process Data Entry'!I33="",0,'Process Data Entry'!I33)</f>
        <v>0</v>
      </c>
      <c r="AA31" s="86">
        <f>IF('Process Data Entry'!J33="","",'Process Data Entry'!J33)</f>
        <v>2.8</v>
      </c>
      <c r="AB31" s="86">
        <f>IF('Process Data Entry'!K33="","",'Process Data Entry'!K33)</f>
        <v>1</v>
      </c>
      <c r="AC31" s="86">
        <f>IF('Process Data Entry'!L33="","",'Process Data Entry'!L33)</f>
        <v>11.5</v>
      </c>
      <c r="AD31" s="87">
        <f t="shared" si="0"/>
        <v>24.7</v>
      </c>
      <c r="AE31" s="87">
        <f t="shared" si="1"/>
        <v>10728.375839999999</v>
      </c>
      <c r="AF31" s="150">
        <f>IF('Process Data Entry'!M33="","",'Process Data Entry'!M33)</f>
        <v>8.8</v>
      </c>
      <c r="AG31" s="150">
        <f>IF('Process Data Entry'!N33="","",'Process Data Entry'!N33)</f>
        <v>1.1</v>
      </c>
      <c r="AH31" s="81">
        <f t="shared" si="2"/>
        <v>3344.47344</v>
      </c>
    </row>
    <row r="32" spans="1:34" ht="15">
      <c r="A32" s="78">
        <v>3</v>
      </c>
      <c r="B32" s="88">
        <f>'Energy Data Entry'!B53</f>
        <v>43040</v>
      </c>
      <c r="C32" s="80">
        <f>IF(OR('Process Data Entry'!C34="",'Process Data Entry'!C34=0),"",'Process Data Entry'!C34)</f>
        <v>1.82</v>
      </c>
      <c r="D32" s="81">
        <f>IF(Table4[[#This Row],[Avg Daily Flow]]="","",_xlfn.DAYS(EOMONTH(B32,0),EOMONTH(B32,-1))*C32)</f>
        <v>54.6</v>
      </c>
      <c r="E32" s="81">
        <f>IF('Process Data Entry'!F34="","",'Process Data Entry'!F34)</f>
        <v>2121.2373</v>
      </c>
      <c r="F32" s="82">
        <f>IF(Table4[[#This Row],[BOD removed]]="","",Table4[[#This Row],[BOD removed]]*_xlfn.DAYS(EOMONTH(Table4[[#This Row],[Column2]],0),EOMONTH(Table4[[#This Row],[Column2]],-1)))</f>
        <v>63637.11899999999</v>
      </c>
      <c r="G32" s="83">
        <f>IF(SUM('Energy Data Entry'!C53,'Energy Data Entry'!H53,'Energy Data Entry'!M53,'Energy Data Entry'!R53,'Energy Data Entry'!W53)=0,"",SUM('Energy Data Entry'!C53,'Energy Data Entry'!H53,'Energy Data Entry'!M53,'Energy Data Entry'!R53,'Energy Data Entry'!W53))</f>
        <v>152131</v>
      </c>
      <c r="H32" s="83">
        <f>'Energy Data Entry'!AG53</f>
        <v>0</v>
      </c>
      <c r="I32" s="83">
        <f>IF(Table4[[#This Row],[Electric kWh usage]]="","",Table4[[#This Row],[Gas kWh usage]]+Table4[[#This Row],[Electric kWh usage]])</f>
        <v>152131</v>
      </c>
      <c r="J32" s="82">
        <f>IF(OR(Table4[[#This Row],[Electric kWh usage]]="",Table4[[#This Row],[Monthly Flow]]=""),"",(Table4[[#This Row],[Electric kWh usage]]+Table4[[#This Row],[Gas kWh usage]])/Table4[[#This Row],[Monthly Flow]])</f>
        <v>2786.2820512820513</v>
      </c>
      <c r="K32" s="84">
        <f>_xlfn.IFERROR(IF(Table4[[#This Row],[Electric kWh usage]]="","",(Table4[[#This Row],[Electric kWh usage]]+Table4[[#This Row],[Gas kWh usage]])/Table4[[#This Row],[Total BOD removed]]),"")</f>
        <v>2.390601623558729</v>
      </c>
      <c r="L32" s="83">
        <f>IF('Energy Data Entry'!E53+'Energy Data Entry'!J53+'Energy Data Entry'!O53+'Energy Data Entry'!T53+'Energy Data Entry'!Y53=0,"",'Energy Data Entry'!E53+'Energy Data Entry'!J53+'Energy Data Entry'!O53+'Energy Data Entry'!T53+'Energy Data Entry'!Y53)</f>
        <v>261</v>
      </c>
      <c r="M32" s="83">
        <f>IF('Energy Data Entry'!F53+'Energy Data Entry'!K53+'Energy Data Entry'!P53++'Energy Data Entry'!U53+'Energy Data Entry'!Z53=0,"",'Energy Data Entry'!F53+'Energy Data Entry'!K53+'Energy Data Entry'!P53++'Energy Data Entry'!U53+'Energy Data Entry'!Z53)</f>
        <v>284</v>
      </c>
      <c r="N32" s="85">
        <f>IF('Energy Data Entry'!G53+'Energy Data Entry'!L53+'Energy Data Entry'!Q53+'Energy Data Entry'!V53+'Energy Data Entry'!AA53=0,"",'Energy Data Entry'!G53+'Energy Data Entry'!L53+'Energy Data Entry'!Q53+'Energy Data Entry'!V53+'Energy Data Entry'!AA53)</f>
        <v>3576.5</v>
      </c>
      <c r="O32" s="85">
        <f>IF('Energy Data Entry'!D53+'Energy Data Entry'!I53+'Energy Data Entry'!N53+'Energy Data Entry'!S53+'Energy Data Entry'!X53=0,"",'Energy Data Entry'!D53+'Energy Data Entry'!I53+'Energy Data Entry'!N53+'Energy Data Entry'!S53+'Energy Data Entry'!X53)</f>
        <v>13465.015000000001</v>
      </c>
      <c r="P32" s="403">
        <f>'Energy Data Entry'!AF53</f>
        <v>0</v>
      </c>
      <c r="Q32" s="151">
        <f>_xlfn.IFERROR(Table4[[#This Row],[Total electric cost]]/Table4[[#This Row],[Electric kWh usage]],"")</f>
        <v>0.08850934392069994</v>
      </c>
      <c r="R32" s="151">
        <f>_xlfn.IFERROR(Table4[[#This Row],[Electric Demand Cost]]/Table4[[#This Row],[Total Electric Demand (Billed)]],_xlfn.IFERROR(Table4[[#This Row],[Electric Demand Cost]]/Table4[[#This Row],[Total Electric Demand (Actual)]],""))</f>
        <v>12.59330985915493</v>
      </c>
      <c r="S32" s="85">
        <f>_xlfn.IFERROR(Table4[[#This Row],[Total Gas cost]]+Table4[[#This Row],[Total electric cost]],"")</f>
        <v>13465.015000000001</v>
      </c>
      <c r="T32" s="111"/>
      <c r="U32" s="85">
        <f>_xlfn.IFERROR(Table4[[#This Row],[Total Energy Cost]]/Table4[[#This Row],[Monthly Flow]],"")</f>
        <v>246.61199633699636</v>
      </c>
      <c r="V32" s="85">
        <f>_xlfn.IFERROR(Table4[[#This Row],[Total Energy Cost]]/Table4[[#This Row],[Total BOD removed]],"")</f>
        <v>0.21159058127694313</v>
      </c>
      <c r="W32" s="116"/>
      <c r="X32" s="86">
        <f>IF('Process Data Entry'!G34="","",'Process Data Entry'!G34)</f>
        <v>31</v>
      </c>
      <c r="Y32" s="86">
        <f>IF('Process Data Entry'!H34="","",'Process Data Entry'!H34)</f>
        <v>16</v>
      </c>
      <c r="Z32" s="86">
        <f>IF('Process Data Entry'!I34="",0,'Process Data Entry'!I34)</f>
        <v>0</v>
      </c>
      <c r="AA32" s="86">
        <f>IF('Process Data Entry'!J34="","",'Process Data Entry'!J34)</f>
        <v>2.7</v>
      </c>
      <c r="AB32" s="86">
        <f>IF('Process Data Entry'!K34="","",'Process Data Entry'!K34)</f>
        <v>1.1</v>
      </c>
      <c r="AC32" s="86">
        <f>IF('Process Data Entry'!L34="","",'Process Data Entry'!L34)</f>
        <v>11.3</v>
      </c>
      <c r="AD32" s="87">
        <f t="shared" si="0"/>
        <v>17</v>
      </c>
      <c r="AE32" s="87">
        <f t="shared" si="1"/>
        <v>7741.188</v>
      </c>
      <c r="AF32" s="150">
        <f>IF('Process Data Entry'!M34="","",'Process Data Entry'!M34)</f>
        <v>7.4</v>
      </c>
      <c r="AG32" s="150">
        <f>IF('Process Data Entry'!N34="","",'Process Data Entry'!N34)</f>
        <v>1</v>
      </c>
      <c r="AH32" s="81">
        <f t="shared" si="2"/>
        <v>2914.3296</v>
      </c>
    </row>
    <row r="33" spans="1:34" ht="15">
      <c r="A33" s="78">
        <v>3</v>
      </c>
      <c r="B33" s="88">
        <f>'Energy Data Entry'!B54</f>
        <v>43070</v>
      </c>
      <c r="C33" s="80">
        <f>IF(OR('Process Data Entry'!C35="",'Process Data Entry'!C35=0),"",'Process Data Entry'!C35)</f>
        <v>1.92</v>
      </c>
      <c r="D33" s="81">
        <f>IF(Table4[[#This Row],[Avg Daily Flow]]="","",_xlfn.DAYS(EOMONTH(B33,0),EOMONTH(B33,-1))*C33)</f>
        <v>59.519999999999996</v>
      </c>
      <c r="E33" s="81">
        <f>IF('Process Data Entry'!F35="","",'Process Data Entry'!F35)</f>
        <v>3107.2838400000005</v>
      </c>
      <c r="F33" s="82">
        <f>IF(Table4[[#This Row],[BOD removed]]="","",Table4[[#This Row],[BOD removed]]*_xlfn.DAYS(EOMONTH(Table4[[#This Row],[Column2]],0),EOMONTH(Table4[[#This Row],[Column2]],-1)))</f>
        <v>96325.79904000001</v>
      </c>
      <c r="G33" s="83">
        <f>IF(SUM('Energy Data Entry'!C54,'Energy Data Entry'!H54,'Energy Data Entry'!M54,'Energy Data Entry'!R54,'Energy Data Entry'!W54)=0,"",SUM('Energy Data Entry'!C54,'Energy Data Entry'!H54,'Energy Data Entry'!M54,'Energy Data Entry'!R54,'Energy Data Entry'!W54))</f>
        <v>172489</v>
      </c>
      <c r="H33" s="83">
        <f>'Energy Data Entry'!AG54</f>
        <v>0</v>
      </c>
      <c r="I33" s="83">
        <f>IF(Table4[[#This Row],[Electric kWh usage]]="","",Table4[[#This Row],[Gas kWh usage]]+Table4[[#This Row],[Electric kWh usage]])</f>
        <v>172489</v>
      </c>
      <c r="J33" s="82">
        <f>IF(OR(Table4[[#This Row],[Electric kWh usage]]="",Table4[[#This Row],[Monthly Flow]]=""),"",(Table4[[#This Row],[Electric kWh usage]]+Table4[[#This Row],[Gas kWh usage]])/Table4[[#This Row],[Monthly Flow]])</f>
        <v>2898.000672043011</v>
      </c>
      <c r="K33" s="84">
        <f>_xlfn.IFERROR(IF(Table4[[#This Row],[Electric kWh usage]]="","",(Table4[[#This Row],[Electric kWh usage]]+Table4[[#This Row],[Gas kWh usage]])/Table4[[#This Row],[Total BOD removed]]),"")</f>
        <v>1.7906833031135578</v>
      </c>
      <c r="L33" s="83">
        <f>IF('Energy Data Entry'!E54+'Energy Data Entry'!J54+'Energy Data Entry'!O54+'Energy Data Entry'!T54+'Energy Data Entry'!Y54=0,"",'Energy Data Entry'!E54+'Energy Data Entry'!J54+'Energy Data Entry'!O54+'Energy Data Entry'!T54+'Energy Data Entry'!Y54)</f>
        <v>302</v>
      </c>
      <c r="M33" s="83">
        <f>IF('Energy Data Entry'!F54+'Energy Data Entry'!K54+'Energy Data Entry'!P54++'Energy Data Entry'!U54+'Energy Data Entry'!Z54=0,"",'Energy Data Entry'!F54+'Energy Data Entry'!K54+'Energy Data Entry'!P54++'Energy Data Entry'!U54+'Energy Data Entry'!Z54)</f>
        <v>302</v>
      </c>
      <c r="N33" s="85">
        <f>IF('Energy Data Entry'!G54+'Energy Data Entry'!L54+'Energy Data Entry'!Q54+'Energy Data Entry'!V54+'Energy Data Entry'!AA54=0,"",'Energy Data Entry'!G54+'Energy Data Entry'!L54+'Energy Data Entry'!Q54+'Energy Data Entry'!V54+'Energy Data Entry'!AA54)</f>
        <v>3473</v>
      </c>
      <c r="O33" s="85">
        <f>IF('Energy Data Entry'!D54+'Energy Data Entry'!I54+'Energy Data Entry'!N54+'Energy Data Entry'!S54+'Energy Data Entry'!X54=0,"",'Energy Data Entry'!D54+'Energy Data Entry'!I54+'Energy Data Entry'!N54+'Energy Data Entry'!S54+'Energy Data Entry'!X54)</f>
        <v>14684.785</v>
      </c>
      <c r="P33" s="403">
        <f>'Energy Data Entry'!AF54</f>
        <v>0</v>
      </c>
      <c r="Q33" s="151">
        <f>_xlfn.IFERROR(Table4[[#This Row],[Total electric cost]]/Table4[[#This Row],[Electric kWh usage]],"")</f>
        <v>0.08513461727994248</v>
      </c>
      <c r="R33" s="151">
        <f>_xlfn.IFERROR(Table4[[#This Row],[Electric Demand Cost]]/Table4[[#This Row],[Total Electric Demand (Billed)]],_xlfn.IFERROR(Table4[[#This Row],[Electric Demand Cost]]/Table4[[#This Row],[Total Electric Demand (Actual)]],""))</f>
        <v>11.5</v>
      </c>
      <c r="S33" s="85">
        <f>_xlfn.IFERROR(Table4[[#This Row],[Total Gas cost]]+Table4[[#This Row],[Total electric cost]],"")</f>
        <v>14684.785</v>
      </c>
      <c r="T33" s="111"/>
      <c r="U33" s="85">
        <f>_xlfn.IFERROR(Table4[[#This Row],[Total Energy Cost]]/Table4[[#This Row],[Monthly Flow]],"")</f>
        <v>246.72017809139786</v>
      </c>
      <c r="V33" s="85">
        <f>_xlfn.IFERROR(Table4[[#This Row],[Total Energy Cost]]/Table4[[#This Row],[Total BOD removed]],"")</f>
        <v>0.152449137680156</v>
      </c>
      <c r="W33" s="116"/>
      <c r="X33" s="86">
        <f>IF('Process Data Entry'!G35="","",'Process Data Entry'!G35)</f>
        <v>35</v>
      </c>
      <c r="Y33" s="86">
        <f>IF('Process Data Entry'!H35="","",'Process Data Entry'!H35)</f>
        <v>17</v>
      </c>
      <c r="Z33" s="86">
        <f>IF('Process Data Entry'!I35="",0,'Process Data Entry'!I35)</f>
        <v>0</v>
      </c>
      <c r="AA33" s="86">
        <f>IF('Process Data Entry'!J35="","",'Process Data Entry'!J35)</f>
        <v>2.8</v>
      </c>
      <c r="AB33" s="86">
        <f>IF('Process Data Entry'!K35="","",'Process Data Entry'!K35)</f>
        <v>1.2</v>
      </c>
      <c r="AC33" s="86">
        <f>IF('Process Data Entry'!L35="","",'Process Data Entry'!L35)</f>
        <v>9.3</v>
      </c>
      <c r="AD33" s="87">
        <f t="shared" si="0"/>
        <v>22.9</v>
      </c>
      <c r="AE33" s="87">
        <f t="shared" si="1"/>
        <v>11367.486719999999</v>
      </c>
      <c r="AF33" s="150">
        <f>IF('Process Data Entry'!M35="","",'Process Data Entry'!M35)</f>
        <v>7.3</v>
      </c>
      <c r="AG33" s="150">
        <f>IF('Process Data Entry'!N35="","",'Process Data Entry'!N35)</f>
        <v>1.4</v>
      </c>
      <c r="AH33" s="81">
        <f t="shared" si="2"/>
        <v>2928.74112</v>
      </c>
    </row>
    <row r="34" spans="1:34" ht="15">
      <c r="A34" s="78">
        <v>3</v>
      </c>
      <c r="B34" s="88">
        <f>'Energy Data Entry'!B55</f>
        <v>43101</v>
      </c>
      <c r="C34" s="80">
        <f>IF(OR('Process Data Entry'!C36="",'Process Data Entry'!C36=0),"",'Process Data Entry'!C36)</f>
        <v>1.68</v>
      </c>
      <c r="D34" s="81">
        <f>IF(Table4[[#This Row],[Avg Daily Flow]]="","",_xlfn.DAYS(EOMONTH(B34,0),EOMONTH(B34,-1))*C34)</f>
        <v>52.08</v>
      </c>
      <c r="E34" s="81">
        <f>IF('Process Data Entry'!F36="","",'Process Data Entry'!F36)</f>
        <v>2387.50848</v>
      </c>
      <c r="F34" s="82">
        <f>IF(Table4[[#This Row],[BOD removed]]="","",Table4[[#This Row],[BOD removed]]*_xlfn.DAYS(EOMONTH(Table4[[#This Row],[Column2]],0),EOMONTH(Table4[[#This Row],[Column2]],-1)))</f>
        <v>74012.76288</v>
      </c>
      <c r="G34" s="83">
        <f>IF(SUM('Energy Data Entry'!C55,'Energy Data Entry'!H55,'Energy Data Entry'!M55,'Energy Data Entry'!R55,'Energy Data Entry'!W55)=0,"",SUM('Energy Data Entry'!C55,'Energy Data Entry'!H55,'Energy Data Entry'!M55,'Energy Data Entry'!R55,'Energy Data Entry'!W55))</f>
        <v>130395</v>
      </c>
      <c r="H34" s="83">
        <f>'Energy Data Entry'!AG55</f>
        <v>0</v>
      </c>
      <c r="I34" s="83">
        <f>IF(Table4[[#This Row],[Electric kWh usage]]="","",Table4[[#This Row],[Gas kWh usage]]+Table4[[#This Row],[Electric kWh usage]])</f>
        <v>130395</v>
      </c>
      <c r="J34" s="82">
        <f>IF(OR(Table4[[#This Row],[Electric kWh usage]]="",Table4[[#This Row],[Monthly Flow]]=""),"",(Table4[[#This Row],[Electric kWh usage]]+Table4[[#This Row],[Gas kWh usage]])/Table4[[#This Row],[Monthly Flow]])</f>
        <v>2503.7442396313363</v>
      </c>
      <c r="K34" s="84">
        <f>_xlfn.IFERROR(IF(Table4[[#This Row],[Electric kWh usage]]="","",(Table4[[#This Row],[Electric kWh usage]]+Table4[[#This Row],[Gas kWh usage]])/Table4[[#This Row],[Total BOD removed]]),"")</f>
        <v>1.76179073616553</v>
      </c>
      <c r="L34" s="83">
        <f>IF('Energy Data Entry'!E55+'Energy Data Entry'!J55+'Energy Data Entry'!O55+'Energy Data Entry'!T55+'Energy Data Entry'!Y55=0,"",'Energy Data Entry'!E55+'Energy Data Entry'!J55+'Energy Data Entry'!O55+'Energy Data Entry'!T55+'Energy Data Entry'!Y55)</f>
        <v>253</v>
      </c>
      <c r="M34" s="83">
        <f>IF('Energy Data Entry'!F55+'Energy Data Entry'!K55+'Energy Data Entry'!P55++'Energy Data Entry'!U55+'Energy Data Entry'!Z55=0,"",'Energy Data Entry'!F55+'Energy Data Entry'!K55+'Energy Data Entry'!P55++'Energy Data Entry'!U55+'Energy Data Entry'!Z55)</f>
        <v>259</v>
      </c>
      <c r="N34" s="85">
        <f>IF('Energy Data Entry'!G55+'Energy Data Entry'!L55+'Energy Data Entry'!Q55+'Energy Data Entry'!V55+'Energy Data Entry'!AA55=0,"",'Energy Data Entry'!G55+'Energy Data Entry'!L55+'Energy Data Entry'!Q55+'Energy Data Entry'!V55+'Energy Data Entry'!AA55)</f>
        <v>2978.5</v>
      </c>
      <c r="O34" s="85">
        <f>IF('Energy Data Entry'!D55+'Energy Data Entry'!I55+'Energy Data Entry'!N55+'Energy Data Entry'!S55+'Energy Data Entry'!X55=0,"",'Energy Data Entry'!D55+'Energy Data Entry'!I55+'Energy Data Entry'!N55+'Energy Data Entry'!S55+'Energy Data Entry'!X55)</f>
        <v>11454.175000000001</v>
      </c>
      <c r="P34" s="403">
        <f>'Energy Data Entry'!AF55</f>
        <v>0</v>
      </c>
      <c r="Q34" s="151">
        <f>_xlfn.IFERROR(Table4[[#This Row],[Total electric cost]]/Table4[[#This Row],[Electric kWh usage]],"")</f>
        <v>0.08784213351738948</v>
      </c>
      <c r="R34" s="151">
        <f>_xlfn.IFERROR(Table4[[#This Row],[Electric Demand Cost]]/Table4[[#This Row],[Total Electric Demand (Billed)]],_xlfn.IFERROR(Table4[[#This Row],[Electric Demand Cost]]/Table4[[#This Row],[Total Electric Demand (Actual)]],""))</f>
        <v>11.5</v>
      </c>
      <c r="S34" s="85">
        <f>_xlfn.IFERROR(Table4[[#This Row],[Total Gas cost]]+Table4[[#This Row],[Total electric cost]],"")</f>
        <v>11454.175000000001</v>
      </c>
      <c r="T34" s="111"/>
      <c r="U34" s="85">
        <f>_xlfn.IFERROR(Table4[[#This Row],[Total Energy Cost]]/Table4[[#This Row],[Monthly Flow]],"")</f>
        <v>219.93423579109066</v>
      </c>
      <c r="V34" s="85">
        <f>_xlfn.IFERROR(Table4[[#This Row],[Total Energy Cost]]/Table4[[#This Row],[Total BOD removed]],"")</f>
        <v>0.15475945707595237</v>
      </c>
      <c r="W34" s="116"/>
      <c r="X34" s="86">
        <f>IF('Process Data Entry'!G36="","",'Process Data Entry'!G36)</f>
        <v>30</v>
      </c>
      <c r="Y34" s="86">
        <f>IF('Process Data Entry'!H36="","",'Process Data Entry'!H36)</f>
        <v>12</v>
      </c>
      <c r="Z34" s="86">
        <f>IF('Process Data Entry'!I36="",0,'Process Data Entry'!I36)</f>
        <v>0</v>
      </c>
      <c r="AA34" s="86">
        <f>IF('Process Data Entry'!J36="","",'Process Data Entry'!J36)</f>
        <v>2.9</v>
      </c>
      <c r="AB34" s="86">
        <f>IF('Process Data Entry'!K36="","",'Process Data Entry'!K36)</f>
        <v>1.5</v>
      </c>
      <c r="AC34" s="86">
        <f>IF('Process Data Entry'!L36="","",'Process Data Entry'!L36)</f>
        <v>8.6</v>
      </c>
      <c r="AD34" s="87">
        <f t="shared" si="0"/>
        <v>18.5</v>
      </c>
      <c r="AE34" s="87">
        <f t="shared" si="1"/>
        <v>8035.4232</v>
      </c>
      <c r="AF34" s="150">
        <f>IF('Process Data Entry'!M36="","",'Process Data Entry'!M36)</f>
        <v>7</v>
      </c>
      <c r="AG34" s="150">
        <f>IF('Process Data Entry'!N36="","",'Process Data Entry'!N36)</f>
        <v>1.3</v>
      </c>
      <c r="AH34" s="81">
        <f t="shared" si="2"/>
        <v>2475.77904</v>
      </c>
    </row>
    <row r="35" spans="1:34" ht="15">
      <c r="A35" s="78">
        <v>3</v>
      </c>
      <c r="B35" s="88">
        <f>'Energy Data Entry'!B56</f>
        <v>43132</v>
      </c>
      <c r="C35" s="80">
        <f>IF(OR('Process Data Entry'!C37="",'Process Data Entry'!C37=0),"",'Process Data Entry'!C37)</f>
        <v>2.24</v>
      </c>
      <c r="D35" s="81">
        <f>IF(Table4[[#This Row],[Avg Daily Flow]]="","",_xlfn.DAYS(EOMONTH(B35,0),EOMONTH(B35,-1))*C35)</f>
        <v>62.720000000000006</v>
      </c>
      <c r="E35" s="81">
        <f>IF('Process Data Entry'!F37="","",'Process Data Entry'!F37)</f>
        <v>3681.2092800000005</v>
      </c>
      <c r="F35" s="82">
        <f>IF(Table4[[#This Row],[BOD removed]]="","",Table4[[#This Row],[BOD removed]]*_xlfn.DAYS(EOMONTH(Table4[[#This Row],[Column2]],0),EOMONTH(Table4[[#This Row],[Column2]],-1)))</f>
        <v>103073.85984000002</v>
      </c>
      <c r="G35" s="83">
        <f>IF(SUM('Energy Data Entry'!C56,'Energy Data Entry'!H56,'Energy Data Entry'!M56,'Energy Data Entry'!R56,'Energy Data Entry'!W56)=0,"",SUM('Energy Data Entry'!C56,'Energy Data Entry'!H56,'Energy Data Entry'!M56,'Energy Data Entry'!R56,'Energy Data Entry'!W56))</f>
        <v>153990</v>
      </c>
      <c r="H35" s="83">
        <f>'Energy Data Entry'!AG56</f>
        <v>0</v>
      </c>
      <c r="I35" s="83">
        <f>IF(Table4[[#This Row],[Electric kWh usage]]="","",Table4[[#This Row],[Gas kWh usage]]+Table4[[#This Row],[Electric kWh usage]])</f>
        <v>153990</v>
      </c>
      <c r="J35" s="82">
        <f>IF(OR(Table4[[#This Row],[Electric kWh usage]]="",Table4[[#This Row],[Monthly Flow]]=""),"",(Table4[[#This Row],[Electric kWh usage]]+Table4[[#This Row],[Gas kWh usage]])/Table4[[#This Row],[Monthly Flow]])</f>
        <v>2455.1977040816323</v>
      </c>
      <c r="K35" s="84">
        <f>_xlfn.IFERROR(IF(Table4[[#This Row],[Electric kWh usage]]="","",(Table4[[#This Row],[Electric kWh usage]]+Table4[[#This Row],[Gas kWh usage]])/Table4[[#This Row],[Total BOD removed]]),"")</f>
        <v>1.4939772337917328</v>
      </c>
      <c r="L35" s="83">
        <f>IF('Energy Data Entry'!E56+'Energy Data Entry'!J56+'Energy Data Entry'!O56+'Energy Data Entry'!T56+'Energy Data Entry'!Y56=0,"",'Energy Data Entry'!E56+'Energy Data Entry'!J56+'Energy Data Entry'!O56+'Energy Data Entry'!T56+'Energy Data Entry'!Y56)</f>
        <v>256</v>
      </c>
      <c r="M35" s="83">
        <f>IF('Energy Data Entry'!F56+'Energy Data Entry'!K56+'Energy Data Entry'!P56++'Energy Data Entry'!U56+'Energy Data Entry'!Z56=0,"",'Energy Data Entry'!F56+'Energy Data Entry'!K56+'Energy Data Entry'!P56++'Energy Data Entry'!U56+'Energy Data Entry'!Z56)</f>
        <v>256</v>
      </c>
      <c r="N35" s="85">
        <f>IF('Energy Data Entry'!G56+'Energy Data Entry'!L56+'Energy Data Entry'!Q56+'Energy Data Entry'!V56+'Energy Data Entry'!AA56=0,"",'Energy Data Entry'!G56+'Energy Data Entry'!L56+'Energy Data Entry'!Q56+'Energy Data Entry'!V56+'Energy Data Entry'!AA56)</f>
        <v>2944</v>
      </c>
      <c r="O35" s="85">
        <f>IF('Energy Data Entry'!D56+'Energy Data Entry'!I56+'Energy Data Entry'!N56+'Energy Data Entry'!S56+'Energy Data Entry'!X56=0,"",'Energy Data Entry'!D56+'Energy Data Entry'!I56+'Energy Data Entry'!N56+'Energy Data Entry'!S56+'Energy Data Entry'!X56)</f>
        <v>12953.35</v>
      </c>
      <c r="P35" s="403">
        <f>'Energy Data Entry'!AF56</f>
        <v>0</v>
      </c>
      <c r="Q35" s="151">
        <f>_xlfn.IFERROR(Table4[[#This Row],[Total electric cost]]/Table4[[#This Row],[Electric kWh usage]],"")</f>
        <v>0.08411812455354244</v>
      </c>
      <c r="R35" s="151">
        <f>_xlfn.IFERROR(Table4[[#This Row],[Electric Demand Cost]]/Table4[[#This Row],[Total Electric Demand (Billed)]],_xlfn.IFERROR(Table4[[#This Row],[Electric Demand Cost]]/Table4[[#This Row],[Total Electric Demand (Actual)]],""))</f>
        <v>11.5</v>
      </c>
      <c r="S35" s="85">
        <f>_xlfn.IFERROR(Table4[[#This Row],[Total Gas cost]]+Table4[[#This Row],[Total electric cost]],"")</f>
        <v>12953.35</v>
      </c>
      <c r="T35" s="111"/>
      <c r="U35" s="85">
        <f>_xlfn.IFERROR(Table4[[#This Row],[Total Energy Cost]]/Table4[[#This Row],[Monthly Flow]],"")</f>
        <v>206.52662627551018</v>
      </c>
      <c r="V35" s="85">
        <f>_xlfn.IFERROR(Table4[[#This Row],[Total Energy Cost]]/Table4[[#This Row],[Total BOD removed]],"")</f>
        <v>0.12567056303224977</v>
      </c>
      <c r="W35" s="116"/>
      <c r="X35" s="86">
        <f>IF('Process Data Entry'!G37="","",'Process Data Entry'!G37)</f>
        <v>39</v>
      </c>
      <c r="Y35" s="86">
        <f>IF('Process Data Entry'!H37="","",'Process Data Entry'!H37)</f>
        <v>12</v>
      </c>
      <c r="Z35" s="86">
        <f>IF('Process Data Entry'!I37="",0,'Process Data Entry'!I37)</f>
        <v>0</v>
      </c>
      <c r="AA35" s="86">
        <f>IF('Process Data Entry'!J37="","",'Process Data Entry'!J37)</f>
        <v>2.9</v>
      </c>
      <c r="AB35" s="86">
        <f>IF('Process Data Entry'!K37="","",'Process Data Entry'!K37)</f>
        <v>0.8</v>
      </c>
      <c r="AC35" s="86">
        <f>IF('Process Data Entry'!L37="","",'Process Data Entry'!L37)</f>
        <v>10.4</v>
      </c>
      <c r="AD35" s="87">
        <f t="shared" si="0"/>
        <v>25.7</v>
      </c>
      <c r="AE35" s="87">
        <f t="shared" si="1"/>
        <v>13443.27936</v>
      </c>
      <c r="AF35" s="150">
        <f>IF('Process Data Entry'!M37="","",'Process Data Entry'!M37)</f>
        <v>8.1</v>
      </c>
      <c r="AG35" s="150">
        <f>IF('Process Data Entry'!N37="","",'Process Data Entry'!N37)</f>
        <v>1.4</v>
      </c>
      <c r="AH35" s="81">
        <f t="shared" si="2"/>
        <v>3504.66816</v>
      </c>
    </row>
    <row r="36" spans="1:34" ht="15">
      <c r="A36" s="78">
        <v>3</v>
      </c>
      <c r="B36" s="88">
        <f>'Energy Data Entry'!B57</f>
        <v>43160</v>
      </c>
      <c r="C36" s="80">
        <f>IF(OR('Process Data Entry'!C38="",'Process Data Entry'!C38=0),"",'Process Data Entry'!C38)</f>
        <v>2.34</v>
      </c>
      <c r="D36" s="81">
        <f>IF(Table4[[#This Row],[Avg Daily Flow]]="","",_xlfn.DAYS(EOMONTH(B36,0),EOMONTH(B36,-1))*C36)</f>
        <v>72.53999999999999</v>
      </c>
      <c r="E36" s="81">
        <f>IF('Process Data Entry'!F38="","",'Process Data Entry'!F38)</f>
        <v>3501.0986399999997</v>
      </c>
      <c r="F36" s="82">
        <f>IF(Table4[[#This Row],[BOD removed]]="","",Table4[[#This Row],[BOD removed]]*_xlfn.DAYS(EOMONTH(Table4[[#This Row],[Column2]],0),EOMONTH(Table4[[#This Row],[Column2]],-1)))</f>
        <v>108534.05784</v>
      </c>
      <c r="G36" s="83">
        <f>IF(SUM('Energy Data Entry'!C57,'Energy Data Entry'!H57,'Energy Data Entry'!M57,'Energy Data Entry'!R57,'Energy Data Entry'!W57)=0,"",SUM('Energy Data Entry'!C57,'Energy Data Entry'!H57,'Energy Data Entry'!M57,'Energy Data Entry'!R57,'Energy Data Entry'!W57))</f>
        <v>194594</v>
      </c>
      <c r="H36" s="83">
        <f>'Energy Data Entry'!AG57</f>
        <v>0</v>
      </c>
      <c r="I36" s="83">
        <f>IF(Table4[[#This Row],[Electric kWh usage]]="","",Table4[[#This Row],[Gas kWh usage]]+Table4[[#This Row],[Electric kWh usage]])</f>
        <v>194594</v>
      </c>
      <c r="J36" s="82">
        <f>IF(OR(Table4[[#This Row],[Electric kWh usage]]="",Table4[[#This Row],[Monthly Flow]]=""),"",(Table4[[#This Row],[Electric kWh usage]]+Table4[[#This Row],[Gas kWh usage]])/Table4[[#This Row],[Monthly Flow]])</f>
        <v>2682.575130962228</v>
      </c>
      <c r="K36" s="84">
        <f>_xlfn.IFERROR(IF(Table4[[#This Row],[Electric kWh usage]]="","",(Table4[[#This Row],[Electric kWh usage]]+Table4[[#This Row],[Gas kWh usage]])/Table4[[#This Row],[Total BOD removed]]),"")</f>
        <v>1.7929302918616463</v>
      </c>
      <c r="L36" s="83">
        <f>IF('Energy Data Entry'!E57+'Energy Data Entry'!J57+'Energy Data Entry'!O57+'Energy Data Entry'!T57+'Energy Data Entry'!Y57=0,"",'Energy Data Entry'!E57+'Energy Data Entry'!J57+'Energy Data Entry'!O57+'Energy Data Entry'!T57+'Energy Data Entry'!Y57)</f>
        <v>352</v>
      </c>
      <c r="M36" s="83">
        <f>IF('Energy Data Entry'!F57+'Energy Data Entry'!K57+'Energy Data Entry'!P57++'Energy Data Entry'!U57+'Energy Data Entry'!Z57=0,"",'Energy Data Entry'!F57+'Energy Data Entry'!K57+'Energy Data Entry'!P57++'Energy Data Entry'!U57+'Energy Data Entry'!Z57)</f>
        <v>352</v>
      </c>
      <c r="N36" s="85">
        <f>IF('Energy Data Entry'!G57+'Energy Data Entry'!L57+'Energy Data Entry'!Q57+'Energy Data Entry'!V57+'Energy Data Entry'!AA57=0,"",'Energy Data Entry'!G57+'Energy Data Entry'!L57+'Energy Data Entry'!Q57+'Energy Data Entry'!V57+'Energy Data Entry'!AA57)</f>
        <v>4048</v>
      </c>
      <c r="O36" s="85">
        <f>IF('Energy Data Entry'!D57+'Energy Data Entry'!I57+'Energy Data Entry'!N57+'Energy Data Entry'!S57+'Energy Data Entry'!X57=0,"",'Energy Data Entry'!D57+'Energy Data Entry'!I57+'Energy Data Entry'!N57+'Energy Data Entry'!S57+'Energy Data Entry'!X57)</f>
        <v>16696.61</v>
      </c>
      <c r="P36" s="403">
        <f>'Energy Data Entry'!AF57</f>
        <v>0</v>
      </c>
      <c r="Q36" s="151">
        <f>_xlfn.IFERROR(Table4[[#This Row],[Total electric cost]]/Table4[[#This Row],[Electric kWh usage]],"")</f>
        <v>0.08580228578476212</v>
      </c>
      <c r="R36" s="151">
        <f>_xlfn.IFERROR(Table4[[#This Row],[Electric Demand Cost]]/Table4[[#This Row],[Total Electric Demand (Billed)]],_xlfn.IFERROR(Table4[[#This Row],[Electric Demand Cost]]/Table4[[#This Row],[Total Electric Demand (Actual)]],""))</f>
        <v>11.5</v>
      </c>
      <c r="S36" s="85">
        <f>_xlfn.IFERROR(Table4[[#This Row],[Total Gas cost]]+Table4[[#This Row],[Total electric cost]],"")</f>
        <v>16696.61</v>
      </c>
      <c r="T36" s="111"/>
      <c r="U36" s="85">
        <f>_xlfn.IFERROR(Table4[[#This Row],[Total Energy Cost]]/Table4[[#This Row],[Monthly Flow]],"")</f>
        <v>230.17107802591676</v>
      </c>
      <c r="V36" s="85">
        <f>_xlfn.IFERROR(Table4[[#This Row],[Total Energy Cost]]/Table4[[#This Row],[Total BOD removed]],"")</f>
        <v>0.15383751729446996</v>
      </c>
      <c r="W36" s="116"/>
      <c r="X36" s="86">
        <f>IF('Process Data Entry'!G38="","",'Process Data Entry'!G38)</f>
        <v>36</v>
      </c>
      <c r="Y36" s="86">
        <f>IF('Process Data Entry'!H38="","",'Process Data Entry'!H38)</f>
        <v>13</v>
      </c>
      <c r="Z36" s="86">
        <f>IF('Process Data Entry'!I38="",0,'Process Data Entry'!I38)</f>
        <v>0</v>
      </c>
      <c r="AA36" s="86">
        <f>IF('Process Data Entry'!J38="","",'Process Data Entry'!J38)</f>
        <v>2.9</v>
      </c>
      <c r="AB36" s="86">
        <f>IF('Process Data Entry'!K38="","",'Process Data Entry'!K38)</f>
        <v>0.9</v>
      </c>
      <c r="AC36" s="86">
        <f>IF('Process Data Entry'!L38="","",'Process Data Entry'!L38)</f>
        <v>11</v>
      </c>
      <c r="AD36" s="87">
        <f aca="true" t="shared" si="3" ref="AD36:AD67">_xlfn.IFERROR(IF(OR(X36="",AC36="",AND(AA36="",AB36=""),((X36+Z36)-(MAX(AA36,AB36)+AC36))&lt;0),"",(X36+Z36)-(MAX(AA36,AB36)+AC36)),"")</f>
        <v>22.1</v>
      </c>
      <c r="AE36" s="87">
        <f aca="true" t="shared" si="4" ref="AE36:AE67">IF(OR(AD36="",D36=""),"",AD36*D36*8.34)</f>
        <v>13370.13756</v>
      </c>
      <c r="AF36" s="150">
        <f>IF('Process Data Entry'!M38="","",'Process Data Entry'!M38)</f>
        <v>8.2</v>
      </c>
      <c r="AG36" s="150">
        <f>IF('Process Data Entry'!N38="","",'Process Data Entry'!N38)</f>
        <v>1.1</v>
      </c>
      <c r="AH36" s="81">
        <f aca="true" t="shared" si="5" ref="AH36:AH67">IF(OR(AF36="",AG36="",D36=""),"",8.34*D36*(AF36-AG36))</f>
        <v>4295.383559999999</v>
      </c>
    </row>
    <row r="37" spans="1:34" ht="15">
      <c r="A37" s="78">
        <v>3</v>
      </c>
      <c r="B37" s="88">
        <f>'Energy Data Entry'!B58</f>
        <v>43191</v>
      </c>
      <c r="C37" s="80">
        <f>IF(OR('Process Data Entry'!C39="",'Process Data Entry'!C39=0),"",'Process Data Entry'!C39)</f>
        <v>2.26</v>
      </c>
      <c r="D37" s="81">
        <f>IF(Table4[[#This Row],[Avg Daily Flow]]="","",_xlfn.DAYS(EOMONTH(B37,0),EOMONTH(B37,-1))*C37)</f>
        <v>67.8</v>
      </c>
      <c r="E37" s="81">
        <f>IF('Process Data Entry'!F39="","",'Process Data Entry'!F39)</f>
        <v>2781.08142</v>
      </c>
      <c r="F37" s="82">
        <f>IF(Table4[[#This Row],[BOD removed]]="","",Table4[[#This Row],[BOD removed]]*_xlfn.DAYS(EOMONTH(Table4[[#This Row],[Column2]],0),EOMONTH(Table4[[#This Row],[Column2]],-1)))</f>
        <v>83432.4426</v>
      </c>
      <c r="G37" s="83">
        <f>IF(SUM('Energy Data Entry'!C58,'Energy Data Entry'!H58,'Energy Data Entry'!M58,'Energy Data Entry'!R58,'Energy Data Entry'!W58)=0,"",SUM('Energy Data Entry'!C58,'Energy Data Entry'!H58,'Energy Data Entry'!M58,'Energy Data Entry'!R58,'Energy Data Entry'!W58))</f>
        <v>165958</v>
      </c>
      <c r="H37" s="83">
        <f>'Energy Data Entry'!AG58</f>
        <v>0</v>
      </c>
      <c r="I37" s="83">
        <f>IF(Table4[[#This Row],[Electric kWh usage]]="","",Table4[[#This Row],[Gas kWh usage]]+Table4[[#This Row],[Electric kWh usage]])</f>
        <v>165958</v>
      </c>
      <c r="J37" s="82">
        <f>IF(OR(Table4[[#This Row],[Electric kWh usage]]="",Table4[[#This Row],[Monthly Flow]]=""),"",(Table4[[#This Row],[Electric kWh usage]]+Table4[[#This Row],[Gas kWh usage]])/Table4[[#This Row],[Monthly Flow]])</f>
        <v>2447.7581120943955</v>
      </c>
      <c r="K37" s="84">
        <f>_xlfn.IFERROR(IF(Table4[[#This Row],[Electric kWh usage]]="","",(Table4[[#This Row],[Electric kWh usage]]+Table4[[#This Row],[Gas kWh usage]])/Table4[[#This Row],[Total BOD removed]]),"")</f>
        <v>1.9891303050499447</v>
      </c>
      <c r="L37" s="83">
        <f>IF('Energy Data Entry'!E58+'Energy Data Entry'!J58+'Energy Data Entry'!O58+'Energy Data Entry'!T58+'Energy Data Entry'!Y58=0,"",'Energy Data Entry'!E58+'Energy Data Entry'!J58+'Energy Data Entry'!O58+'Energy Data Entry'!T58+'Energy Data Entry'!Y58)</f>
        <v>279</v>
      </c>
      <c r="M37" s="83">
        <f>IF('Energy Data Entry'!F58+'Energy Data Entry'!K58+'Energy Data Entry'!P58++'Energy Data Entry'!U58+'Energy Data Entry'!Z58=0,"",'Energy Data Entry'!F58+'Energy Data Entry'!K58+'Energy Data Entry'!P58++'Energy Data Entry'!U58+'Energy Data Entry'!Z58)</f>
        <v>279</v>
      </c>
      <c r="N37" s="85">
        <f>IF('Energy Data Entry'!G58+'Energy Data Entry'!L58+'Energy Data Entry'!Q58+'Energy Data Entry'!V58+'Energy Data Entry'!AA58=0,"",'Energy Data Entry'!G58+'Energy Data Entry'!L58+'Energy Data Entry'!Q58+'Energy Data Entry'!V58+'Energy Data Entry'!AA58)</f>
        <v>3208.5</v>
      </c>
      <c r="O37" s="85">
        <f>IF('Energy Data Entry'!D58+'Energy Data Entry'!I58+'Energy Data Entry'!N58+'Energy Data Entry'!S58+'Energy Data Entry'!X58=0,"",'Energy Data Entry'!D58+'Energy Data Entry'!I58+'Energy Data Entry'!N58+'Energy Data Entry'!S58+'Energy Data Entry'!X58)</f>
        <v>13995.77</v>
      </c>
      <c r="P37" s="403">
        <f>'Energy Data Entry'!AF58</f>
        <v>0</v>
      </c>
      <c r="Q37" s="151">
        <f>_xlfn.IFERROR(Table4[[#This Row],[Total electric cost]]/Table4[[#This Row],[Electric kWh usage]],"")</f>
        <v>0.08433320478675328</v>
      </c>
      <c r="R37" s="151">
        <f>_xlfn.IFERROR(Table4[[#This Row],[Electric Demand Cost]]/Table4[[#This Row],[Total Electric Demand (Billed)]],_xlfn.IFERROR(Table4[[#This Row],[Electric Demand Cost]]/Table4[[#This Row],[Total Electric Demand (Actual)]],""))</f>
        <v>11.5</v>
      </c>
      <c r="S37" s="85">
        <f>_xlfn.IFERROR(Table4[[#This Row],[Total Gas cost]]+Table4[[#This Row],[Total electric cost]],"")</f>
        <v>13995.77</v>
      </c>
      <c r="T37" s="111"/>
      <c r="U37" s="85">
        <f>_xlfn.IFERROR(Table4[[#This Row],[Total Energy Cost]]/Table4[[#This Row],[Monthly Flow]],"")</f>
        <v>206.42728613569324</v>
      </c>
      <c r="V37" s="85">
        <f>_xlfn.IFERROR(Table4[[#This Row],[Total Energy Cost]]/Table4[[#This Row],[Total BOD removed]],"")</f>
        <v>0.167749733363314</v>
      </c>
      <c r="W37" s="116"/>
      <c r="X37" s="86">
        <f>IF('Process Data Entry'!G39="","",'Process Data Entry'!G39)</f>
        <v>36</v>
      </c>
      <c r="Y37" s="86">
        <f>IF('Process Data Entry'!H39="","",'Process Data Entry'!H39)</f>
        <v>13</v>
      </c>
      <c r="Z37" s="86">
        <f>IF('Process Data Entry'!I39="",0,'Process Data Entry'!I39)</f>
        <v>0</v>
      </c>
      <c r="AA37" s="86">
        <f>IF('Process Data Entry'!J39="","",'Process Data Entry'!J39)</f>
        <v>3.1</v>
      </c>
      <c r="AB37" s="86">
        <f>IF('Process Data Entry'!K39="","",'Process Data Entry'!K39)</f>
        <v>1.2</v>
      </c>
      <c r="AC37" s="86">
        <f>IF('Process Data Entry'!L39="","",'Process Data Entry'!L39)</f>
        <v>11.6</v>
      </c>
      <c r="AD37" s="87">
        <f t="shared" si="3"/>
        <v>21.3</v>
      </c>
      <c r="AE37" s="87">
        <f t="shared" si="4"/>
        <v>12044.1276</v>
      </c>
      <c r="AF37" s="150">
        <f>IF('Process Data Entry'!M39="","",'Process Data Entry'!M39)</f>
        <v>7.1</v>
      </c>
      <c r="AG37" s="150">
        <f>IF('Process Data Entry'!N39="","",'Process Data Entry'!N39)</f>
        <v>1.2</v>
      </c>
      <c r="AH37" s="81">
        <f t="shared" si="5"/>
        <v>3336.1667999999995</v>
      </c>
    </row>
    <row r="38" spans="1:34" ht="15">
      <c r="A38" s="78">
        <v>3</v>
      </c>
      <c r="B38" s="88">
        <f>'Energy Data Entry'!B59</f>
        <v>43221</v>
      </c>
      <c r="C38" s="80">
        <f>IF(OR('Process Data Entry'!C40="",'Process Data Entry'!C40=0),"",'Process Data Entry'!C40)</f>
        <v>1.88</v>
      </c>
      <c r="D38" s="81">
        <f>IF(Table4[[#This Row],[Avg Daily Flow]]="","",_xlfn.DAYS(EOMONTH(B38,0),EOMONTH(B38,-1))*C38)</f>
        <v>58.279999999999994</v>
      </c>
      <c r="E38" s="81">
        <f>IF('Process Data Entry'!F40="","",'Process Data Entry'!F40)</f>
        <v>2130.01932</v>
      </c>
      <c r="F38" s="82">
        <f>IF(Table4[[#This Row],[BOD removed]]="","",Table4[[#This Row],[BOD removed]]*_xlfn.DAYS(EOMONTH(Table4[[#This Row],[Column2]],0),EOMONTH(Table4[[#This Row],[Column2]],-1)))</f>
        <v>66030.59891999999</v>
      </c>
      <c r="G38" s="83">
        <f>IF(SUM('Energy Data Entry'!C59,'Energy Data Entry'!H59,'Energy Data Entry'!M59,'Energy Data Entry'!R59,'Energy Data Entry'!W59)=0,"",SUM('Energy Data Entry'!C59,'Energy Data Entry'!H59,'Energy Data Entry'!M59,'Energy Data Entry'!R59,'Energy Data Entry'!W59))</f>
        <v>130758</v>
      </c>
      <c r="H38" s="83">
        <f>'Energy Data Entry'!AG59</f>
        <v>0</v>
      </c>
      <c r="I38" s="83">
        <f>IF(Table4[[#This Row],[Electric kWh usage]]="","",Table4[[#This Row],[Gas kWh usage]]+Table4[[#This Row],[Electric kWh usage]])</f>
        <v>130758</v>
      </c>
      <c r="J38" s="82">
        <f>IF(OR(Table4[[#This Row],[Electric kWh usage]]="",Table4[[#This Row],[Monthly Flow]]=""),"",(Table4[[#This Row],[Electric kWh usage]]+Table4[[#This Row],[Gas kWh usage]])/Table4[[#This Row],[Monthly Flow]])</f>
        <v>2243.617021276596</v>
      </c>
      <c r="K38" s="84">
        <f>_xlfn.IFERROR(IF(Table4[[#This Row],[Electric kWh usage]]="","",(Table4[[#This Row],[Electric kWh usage]]+Table4[[#This Row],[Gas kWh usage]])/Table4[[#This Row],[Total BOD removed]]),"")</f>
        <v>1.9802637283120985</v>
      </c>
      <c r="L38" s="83">
        <f>IF('Energy Data Entry'!E59+'Energy Data Entry'!J59+'Energy Data Entry'!O59+'Energy Data Entry'!T59+'Energy Data Entry'!Y59=0,"",'Energy Data Entry'!E59+'Energy Data Entry'!J59+'Energy Data Entry'!O59+'Energy Data Entry'!T59+'Energy Data Entry'!Y59)</f>
        <v>239</v>
      </c>
      <c r="M38" s="83">
        <f>IF('Energy Data Entry'!F59+'Energy Data Entry'!K59+'Energy Data Entry'!P59++'Energy Data Entry'!U59+'Energy Data Entry'!Z59=0,"",'Energy Data Entry'!F59+'Energy Data Entry'!K59+'Energy Data Entry'!P59++'Energy Data Entry'!U59+'Energy Data Entry'!Z59)</f>
        <v>246</v>
      </c>
      <c r="N38" s="85">
        <f>IF('Energy Data Entry'!G59+'Energy Data Entry'!L59+'Energy Data Entry'!Q59+'Energy Data Entry'!V59+'Energy Data Entry'!AA59=0,"",'Energy Data Entry'!G59+'Energy Data Entry'!L59+'Energy Data Entry'!Q59+'Energy Data Entry'!V59+'Energy Data Entry'!AA59)</f>
        <v>2829</v>
      </c>
      <c r="O38" s="85">
        <f>IF('Energy Data Entry'!D59+'Energy Data Entry'!I59+'Energy Data Entry'!N59+'Energy Data Entry'!S59+'Energy Data Entry'!X59=0,"",'Energy Data Entry'!D59+'Energy Data Entry'!I59+'Energy Data Entry'!N59+'Energy Data Entry'!S59+'Energy Data Entry'!X59)</f>
        <v>11328.27</v>
      </c>
      <c r="P38" s="403">
        <f>'Energy Data Entry'!AF59</f>
        <v>0</v>
      </c>
      <c r="Q38" s="151">
        <f>_xlfn.IFERROR(Table4[[#This Row],[Total electric cost]]/Table4[[#This Row],[Electric kWh usage]],"")</f>
        <v>0.08663538750975085</v>
      </c>
      <c r="R38" s="151">
        <f>_xlfn.IFERROR(Table4[[#This Row],[Electric Demand Cost]]/Table4[[#This Row],[Total Electric Demand (Billed)]],_xlfn.IFERROR(Table4[[#This Row],[Electric Demand Cost]]/Table4[[#This Row],[Total Electric Demand (Actual)]],""))</f>
        <v>11.5</v>
      </c>
      <c r="S38" s="85">
        <f>_xlfn.IFERROR(Table4[[#This Row],[Total Gas cost]]+Table4[[#This Row],[Total electric cost]],"")</f>
        <v>11328.27</v>
      </c>
      <c r="T38" s="111"/>
      <c r="U38" s="85">
        <f>_xlfn.IFERROR(Table4[[#This Row],[Total Energy Cost]]/Table4[[#This Row],[Monthly Flow]],"")</f>
        <v>194.37663006177078</v>
      </c>
      <c r="V38" s="85">
        <f>_xlfn.IFERROR(Table4[[#This Row],[Total Energy Cost]]/Table4[[#This Row],[Total BOD removed]],"")</f>
        <v>0.1715609154738226</v>
      </c>
      <c r="W38" s="116"/>
      <c r="X38" s="86">
        <f>IF('Process Data Entry'!G40="","",'Process Data Entry'!G40)</f>
        <v>35</v>
      </c>
      <c r="Y38" s="86">
        <f>IF('Process Data Entry'!H40="","",'Process Data Entry'!H40)</f>
        <v>15</v>
      </c>
      <c r="Z38" s="86">
        <f>IF('Process Data Entry'!I40="",0,'Process Data Entry'!I40)</f>
        <v>0</v>
      </c>
      <c r="AA38" s="86">
        <f>IF('Process Data Entry'!J40="","",'Process Data Entry'!J40)</f>
        <v>3.2</v>
      </c>
      <c r="AB38" s="86">
        <f>IF('Process Data Entry'!K40="","",'Process Data Entry'!K40)</f>
        <v>1.5</v>
      </c>
      <c r="AC38" s="86">
        <f>IF('Process Data Entry'!L40="","",'Process Data Entry'!L40)</f>
        <v>9.2</v>
      </c>
      <c r="AD38" s="87">
        <f t="shared" si="3"/>
        <v>22.6</v>
      </c>
      <c r="AE38" s="87">
        <f t="shared" si="4"/>
        <v>10984.84752</v>
      </c>
      <c r="AF38" s="150">
        <f>IF('Process Data Entry'!M40="","",'Process Data Entry'!M40)</f>
        <v>8.4</v>
      </c>
      <c r="AG38" s="150">
        <f>IF('Process Data Entry'!N40="","",'Process Data Entry'!N40)</f>
        <v>1.2</v>
      </c>
      <c r="AH38" s="81">
        <f t="shared" si="5"/>
        <v>3499.5974399999996</v>
      </c>
    </row>
    <row r="39" spans="1:34" s="105" customFormat="1" ht="15" thickBot="1">
      <c r="A39" s="97">
        <v>3</v>
      </c>
      <c r="B39" s="107">
        <f>'Energy Data Entry'!B60</f>
        <v>43252</v>
      </c>
      <c r="C39" s="355">
        <f>IF(OR('Process Data Entry'!C41="",'Process Data Entry'!C41=0),"",'Process Data Entry'!C41)</f>
        <v>1.52</v>
      </c>
      <c r="D39" s="99">
        <f>IF(Table4[[#This Row],[Avg Daily Flow]]="","",_xlfn.DAYS(EOMONTH(B39,0),EOMONTH(B39,-1))*C39)</f>
        <v>45.6</v>
      </c>
      <c r="E39" s="99">
        <f>IF('Process Data Entry'!F41="","",'Process Data Entry'!F41)</f>
        <v>2802.2066400000003</v>
      </c>
      <c r="F39" s="100">
        <f>IF(Table4[[#This Row],[BOD removed]]="","",Table4[[#This Row],[BOD removed]]*_xlfn.DAYS(EOMONTH(Table4[[#This Row],[Column2]],0),EOMONTH(Table4[[#This Row],[Column2]],-1)))</f>
        <v>84066.1992</v>
      </c>
      <c r="G39" s="101">
        <f>IF(SUM('Energy Data Entry'!C60,'Energy Data Entry'!H60,'Energy Data Entry'!M60,'Energy Data Entry'!R60,'Energy Data Entry'!W60)=0,"",SUM('Energy Data Entry'!C60,'Energy Data Entry'!H60,'Energy Data Entry'!M60,'Energy Data Entry'!R60,'Energy Data Entry'!W60))</f>
        <v>131804</v>
      </c>
      <c r="H39" s="101">
        <f>'Energy Data Entry'!AG60</f>
        <v>0</v>
      </c>
      <c r="I39" s="101">
        <f>IF(Table4[[#This Row],[Electric kWh usage]]="","",Table4[[#This Row],[Gas kWh usage]]+Table4[[#This Row],[Electric kWh usage]])</f>
        <v>131804</v>
      </c>
      <c r="J39" s="100">
        <f>IF(OR(Table4[[#This Row],[Electric kWh usage]]="",Table4[[#This Row],[Monthly Flow]]=""),"",(Table4[[#This Row],[Electric kWh usage]]+Table4[[#This Row],[Gas kWh usage]])/Table4[[#This Row],[Monthly Flow]])</f>
        <v>2890.438596491228</v>
      </c>
      <c r="K39" s="102">
        <f>_xlfn.IFERROR(IF(Table4[[#This Row],[Electric kWh usage]]="","",(Table4[[#This Row],[Electric kWh usage]]+Table4[[#This Row],[Gas kWh usage]])/Table4[[#This Row],[Total BOD removed]]),"")</f>
        <v>1.5678596303185788</v>
      </c>
      <c r="L39" s="101">
        <f>IF('Energy Data Entry'!E60+'Energy Data Entry'!J60+'Energy Data Entry'!O60+'Energy Data Entry'!T60+'Energy Data Entry'!Y60=0,"",'Energy Data Entry'!E60+'Energy Data Entry'!J60+'Energy Data Entry'!O60+'Energy Data Entry'!T60+'Energy Data Entry'!Y60)</f>
        <v>221</v>
      </c>
      <c r="M39" s="101">
        <f>IF('Energy Data Entry'!F60+'Energy Data Entry'!K60+'Energy Data Entry'!P60++'Energy Data Entry'!U60+'Energy Data Entry'!Z60=0,"",'Energy Data Entry'!F60+'Energy Data Entry'!K60+'Energy Data Entry'!P60++'Energy Data Entry'!U60+'Energy Data Entry'!Z60)</f>
        <v>246</v>
      </c>
      <c r="N39" s="103">
        <f>IF('Energy Data Entry'!G60+'Energy Data Entry'!L60+'Energy Data Entry'!Q60+'Energy Data Entry'!V60+'Energy Data Entry'!AA60=0,"",'Energy Data Entry'!G60+'Energy Data Entry'!L60+'Energy Data Entry'!Q60+'Energy Data Entry'!V60+'Energy Data Entry'!AA60)</f>
        <v>2829</v>
      </c>
      <c r="O39" s="103">
        <f>IF('Energy Data Entry'!D60+'Energy Data Entry'!I60+'Energy Data Entry'!N60+'Energy Data Entry'!S60+'Energy Data Entry'!X60=0,"",'Energy Data Entry'!D60+'Energy Data Entry'!I60+'Energy Data Entry'!N60+'Energy Data Entry'!S60+'Energy Data Entry'!X60)</f>
        <v>11396.26</v>
      </c>
      <c r="P39" s="404">
        <f>'Energy Data Entry'!AF60</f>
        <v>0</v>
      </c>
      <c r="Q39" s="152">
        <f>_xlfn.IFERROR(Table4[[#This Row],[Total electric cost]]/Table4[[#This Row],[Electric kWh usage]],"")</f>
        <v>0.08646368850717732</v>
      </c>
      <c r="R39" s="152">
        <f>_xlfn.IFERROR(Table4[[#This Row],[Electric Demand Cost]]/Table4[[#This Row],[Total Electric Demand (Billed)]],_xlfn.IFERROR(Table4[[#This Row],[Electric Demand Cost]]/Table4[[#This Row],[Total Electric Demand (Actual)]],""))</f>
        <v>11.5</v>
      </c>
      <c r="S39" s="103">
        <f>_xlfn.IFERROR(Table4[[#This Row],[Total Gas cost]]+Table4[[#This Row],[Total electric cost]],"")</f>
        <v>11396.26</v>
      </c>
      <c r="T39" s="112"/>
      <c r="U39" s="103">
        <f>_xlfn.IFERROR(Table4[[#This Row],[Total Energy Cost]]/Table4[[#This Row],[Monthly Flow]],"")</f>
        <v>249.91798245614035</v>
      </c>
      <c r="V39" s="103">
        <f>_xlfn.IFERROR(Table4[[#This Row],[Total Energy Cost]]/Table4[[#This Row],[Total BOD removed]],"")</f>
        <v>0.1355629266988438</v>
      </c>
      <c r="W39" s="356"/>
      <c r="X39" s="104">
        <f>IF('Process Data Entry'!G41="","",'Process Data Entry'!G41)</f>
        <v>32</v>
      </c>
      <c r="Y39" s="104">
        <f>IF('Process Data Entry'!H41="","",'Process Data Entry'!H41)</f>
        <v>11</v>
      </c>
      <c r="Z39" s="104">
        <f>IF('Process Data Entry'!I41="",0,'Process Data Entry'!I41)</f>
        <v>0</v>
      </c>
      <c r="AA39" s="104">
        <f>IF('Process Data Entry'!J41="","",'Process Data Entry'!J41)</f>
        <v>2.8</v>
      </c>
      <c r="AB39" s="104">
        <f>IF('Process Data Entry'!K41="","",'Process Data Entry'!K41)</f>
        <v>1.4</v>
      </c>
      <c r="AC39" s="104">
        <f>IF('Process Data Entry'!L41="","",'Process Data Entry'!L41)</f>
        <v>9.2</v>
      </c>
      <c r="AD39" s="357">
        <f t="shared" si="3"/>
        <v>20</v>
      </c>
      <c r="AE39" s="357">
        <f t="shared" si="4"/>
        <v>7606.08</v>
      </c>
      <c r="AF39" s="358">
        <f>IF('Process Data Entry'!M41="","",'Process Data Entry'!M41)</f>
        <v>8.9</v>
      </c>
      <c r="AG39" s="358">
        <f>IF('Process Data Entry'!N41="","",'Process Data Entry'!N41)</f>
        <v>0.7</v>
      </c>
      <c r="AH39" s="99">
        <f t="shared" si="5"/>
        <v>3118.4928000000004</v>
      </c>
    </row>
    <row r="40" spans="1:34" ht="15">
      <c r="A40" s="89">
        <v>4</v>
      </c>
      <c r="B40" s="106">
        <f>'Energy Data Entry'!B61</f>
        <v>43282</v>
      </c>
      <c r="C40" s="359">
        <f>IF(OR('Process Data Entry'!C42="",'Process Data Entry'!C42=0),"",'Process Data Entry'!C42)</f>
        <v>2.06</v>
      </c>
      <c r="D40" s="91">
        <f>IF(Table4[[#This Row],[Avg Daily Flow]]="","",_xlfn.DAYS(EOMONTH(B40,0),EOMONTH(B40,-1))*C40)</f>
        <v>63.86</v>
      </c>
      <c r="E40" s="91">
        <f>IF('Process Data Entry'!F42="","",'Process Data Entry'!F42)</f>
        <v>2772.05754</v>
      </c>
      <c r="F40" s="92">
        <f>IF(Table4[[#This Row],[BOD removed]]="","",Table4[[#This Row],[BOD removed]]*_xlfn.DAYS(EOMONTH(Table4[[#This Row],[Column2]],0),EOMONTH(Table4[[#This Row],[Column2]],-1)))</f>
        <v>85933.78374</v>
      </c>
      <c r="G40" s="93">
        <f>IF(SUM('Energy Data Entry'!C61,'Energy Data Entry'!H61,'Energy Data Entry'!M61,'Energy Data Entry'!R61,'Energy Data Entry'!W61)=0,"",SUM('Energy Data Entry'!C61,'Energy Data Entry'!H61,'Energy Data Entry'!M61,'Energy Data Entry'!R61,'Energy Data Entry'!W61))</f>
        <v>181848</v>
      </c>
      <c r="H40" s="93">
        <f>'Energy Data Entry'!AG61</f>
        <v>0</v>
      </c>
      <c r="I40" s="93">
        <f>IF(Table4[[#This Row],[Electric kWh usage]]="","",Table4[[#This Row],[Gas kWh usage]]+Table4[[#This Row],[Electric kWh usage]])</f>
        <v>181848</v>
      </c>
      <c r="J40" s="92">
        <f>IF(OR(Table4[[#This Row],[Electric kWh usage]]="",Table4[[#This Row],[Monthly Flow]]=""),"",(Table4[[#This Row],[Electric kWh usage]]+Table4[[#This Row],[Gas kWh usage]])/Table4[[#This Row],[Monthly Flow]])</f>
        <v>2847.6041340432193</v>
      </c>
      <c r="K40" s="94">
        <f>_xlfn.IFERROR(IF(Table4[[#This Row],[Electric kWh usage]]="","",(Table4[[#This Row],[Electric kWh usage]]+Table4[[#This Row],[Gas kWh usage]])/Table4[[#This Row],[Total BOD removed]]),"")</f>
        <v>2.116140964422056</v>
      </c>
      <c r="L40" s="93">
        <f>IF('Energy Data Entry'!E61+'Energy Data Entry'!J61+'Energy Data Entry'!O61+'Energy Data Entry'!T61+'Energy Data Entry'!Y61=0,"",'Energy Data Entry'!E61+'Energy Data Entry'!J61+'Energy Data Entry'!O61+'Energy Data Entry'!T61+'Energy Data Entry'!Y61)</f>
        <v>322</v>
      </c>
      <c r="M40" s="93">
        <f>IF('Energy Data Entry'!F61+'Energy Data Entry'!K61+'Energy Data Entry'!P61++'Energy Data Entry'!U61+'Energy Data Entry'!Z61=0,"",'Energy Data Entry'!F61+'Energy Data Entry'!K61+'Energy Data Entry'!P61++'Energy Data Entry'!U61+'Energy Data Entry'!Z61)</f>
        <v>322</v>
      </c>
      <c r="N40" s="95">
        <f>IF('Energy Data Entry'!G61+'Energy Data Entry'!L61+'Energy Data Entry'!Q61+'Energy Data Entry'!V61+'Energy Data Entry'!AA61=0,"",'Energy Data Entry'!G61+'Energy Data Entry'!L61+'Energy Data Entry'!Q61+'Energy Data Entry'!V61+'Energy Data Entry'!AA61)</f>
        <v>3703</v>
      </c>
      <c r="O40" s="95">
        <f>IF('Energy Data Entry'!D61+'Energy Data Entry'!I61+'Energy Data Entry'!N61+'Energy Data Entry'!S61+'Energy Data Entry'!X61=0,"",'Energy Data Entry'!D61+'Energy Data Entry'!I61+'Energy Data Entry'!N61+'Energy Data Entry'!S61+'Energy Data Entry'!X61)</f>
        <v>15523.12</v>
      </c>
      <c r="P40" s="405">
        <f>'Energy Data Entry'!AF61</f>
        <v>0</v>
      </c>
      <c r="Q40" s="153">
        <f>_xlfn.IFERROR(Table4[[#This Row],[Total electric cost]]/Table4[[#This Row],[Electric kWh usage]],"")</f>
        <v>0.08536316044168757</v>
      </c>
      <c r="R40" s="153">
        <f>_xlfn.IFERROR(Table4[[#This Row],[Electric Demand Cost]]/Table4[[#This Row],[Total Electric Demand (Billed)]],_xlfn.IFERROR(Table4[[#This Row],[Electric Demand Cost]]/Table4[[#This Row],[Total Electric Demand (Actual)]],""))</f>
        <v>11.5</v>
      </c>
      <c r="S40" s="95">
        <f>_xlfn.IFERROR(Table4[[#This Row],[Total Gas cost]]+Table4[[#This Row],[Total electric cost]],"")</f>
        <v>15523.12</v>
      </c>
      <c r="T40" s="113"/>
      <c r="U40" s="95">
        <f>_xlfn.IFERROR(Table4[[#This Row],[Total Energy Cost]]/Table4[[#This Row],[Monthly Flow]],"")</f>
        <v>243.08048856874413</v>
      </c>
      <c r="V40" s="95">
        <f>_xlfn.IFERROR(Table4[[#This Row],[Total Energy Cost]]/Table4[[#This Row],[Total BOD removed]],"")</f>
        <v>0.18064048066318744</v>
      </c>
      <c r="W40" s="116"/>
      <c r="X40" s="96">
        <f>IF('Process Data Entry'!G42="","",'Process Data Entry'!G42)</f>
        <v>30</v>
      </c>
      <c r="Y40" s="96">
        <f>IF('Process Data Entry'!H42="","",'Process Data Entry'!H42)</f>
        <v>13</v>
      </c>
      <c r="Z40" s="96">
        <f>IF('Process Data Entry'!I42="",0,'Process Data Entry'!I42)</f>
        <v>0</v>
      </c>
      <c r="AA40" s="96">
        <f>IF('Process Data Entry'!J42="","",'Process Data Entry'!J42)</f>
        <v>3.2</v>
      </c>
      <c r="AB40" s="96">
        <f>IF('Process Data Entry'!K42="","",'Process Data Entry'!K42)</f>
        <v>1</v>
      </c>
      <c r="AC40" s="96">
        <f>IF('Process Data Entry'!L42="","",'Process Data Entry'!L42)</f>
        <v>10.5</v>
      </c>
      <c r="AD40" s="360">
        <f t="shared" si="3"/>
        <v>16.3</v>
      </c>
      <c r="AE40" s="360">
        <f t="shared" si="4"/>
        <v>8681.25612</v>
      </c>
      <c r="AF40" s="361">
        <f>IF('Process Data Entry'!M42="","",'Process Data Entry'!M42)</f>
        <v>9.6</v>
      </c>
      <c r="AG40" s="361">
        <f>IF('Process Data Entry'!N42="","",'Process Data Entry'!N42)</f>
        <v>1.2</v>
      </c>
      <c r="AH40" s="91">
        <f t="shared" si="5"/>
        <v>4473.77616</v>
      </c>
    </row>
    <row r="41" spans="1:34" ht="15">
      <c r="A41" s="78">
        <v>4</v>
      </c>
      <c r="B41" s="88">
        <f>'Energy Data Entry'!B62</f>
        <v>43313</v>
      </c>
      <c r="C41" s="80">
        <f>IF(OR('Process Data Entry'!C43="",'Process Data Entry'!C43=0),"",'Process Data Entry'!C43)</f>
        <v>2.16</v>
      </c>
      <c r="D41" s="81">
        <f>IF(Table4[[#This Row],[Avg Daily Flow]]="","",_xlfn.DAYS(EOMONTH(B41,0),EOMONTH(B41,-1))*C41)</f>
        <v>66.96000000000001</v>
      </c>
      <c r="E41" s="81">
        <f>IF('Process Data Entry'!F43="","",'Process Data Entry'!F43)</f>
        <v>3205.66248</v>
      </c>
      <c r="F41" s="82">
        <f>IF(Table4[[#This Row],[BOD removed]]="","",Table4[[#This Row],[BOD removed]]*_xlfn.DAYS(EOMONTH(Table4[[#This Row],[Column2]],0),EOMONTH(Table4[[#This Row],[Column2]],-1)))</f>
        <v>99375.53688</v>
      </c>
      <c r="G41" s="83">
        <f>IF(SUM('Energy Data Entry'!C62,'Energy Data Entry'!H62,'Energy Data Entry'!M62,'Energy Data Entry'!R62,'Energy Data Entry'!W62)=0,"",SUM('Energy Data Entry'!C62,'Energy Data Entry'!H62,'Energy Data Entry'!M62,'Energy Data Entry'!R62,'Energy Data Entry'!W62))</f>
        <v>160030</v>
      </c>
      <c r="H41" s="83">
        <f>'Energy Data Entry'!AG62</f>
        <v>0</v>
      </c>
      <c r="I41" s="83">
        <f>IF(Table4[[#This Row],[Electric kWh usage]]="","",Table4[[#This Row],[Gas kWh usage]]+Table4[[#This Row],[Electric kWh usage]])</f>
        <v>160030</v>
      </c>
      <c r="J41" s="82">
        <f>IF(OR(Table4[[#This Row],[Electric kWh usage]]="",Table4[[#This Row],[Monthly Flow]]=""),"",(Table4[[#This Row],[Electric kWh usage]]+Table4[[#This Row],[Gas kWh usage]])/Table4[[#This Row],[Monthly Flow]])</f>
        <v>2389.934289127837</v>
      </c>
      <c r="K41" s="84">
        <f>_xlfn.IFERROR(IF(Table4[[#This Row],[Electric kWh usage]]="","",(Table4[[#This Row],[Electric kWh usage]]+Table4[[#This Row],[Gas kWh usage]])/Table4[[#This Row],[Total BOD removed]]),"")</f>
        <v>1.6103560798191483</v>
      </c>
      <c r="L41" s="83">
        <f>IF('Energy Data Entry'!E62+'Energy Data Entry'!J62+'Energy Data Entry'!O62+'Energy Data Entry'!T62+'Energy Data Entry'!Y62=0,"",'Energy Data Entry'!E62+'Energy Data Entry'!J62+'Energy Data Entry'!O62+'Energy Data Entry'!T62+'Energy Data Entry'!Y62)</f>
        <v>272</v>
      </c>
      <c r="M41" s="83">
        <f>IF('Energy Data Entry'!F62+'Energy Data Entry'!K62+'Energy Data Entry'!P62++'Energy Data Entry'!U62+'Energy Data Entry'!Z62=0,"",'Energy Data Entry'!F62+'Energy Data Entry'!K62+'Energy Data Entry'!P62++'Energy Data Entry'!U62+'Energy Data Entry'!Z62)</f>
        <v>272</v>
      </c>
      <c r="N41" s="85">
        <f>IF('Energy Data Entry'!G62+'Energy Data Entry'!L62+'Energy Data Entry'!Q62+'Energy Data Entry'!V62+'Energy Data Entry'!AA62=0,"",'Energy Data Entry'!G62+'Energy Data Entry'!L62+'Energy Data Entry'!Q62+'Energy Data Entry'!V62+'Energy Data Entry'!AA62)</f>
        <v>3128</v>
      </c>
      <c r="O41" s="85">
        <f>IF('Energy Data Entry'!D62+'Energy Data Entry'!I62+'Energy Data Entry'!N62+'Energy Data Entry'!S62+'Energy Data Entry'!X62=0,"",'Energy Data Entry'!D62+'Energy Data Entry'!I62+'Energy Data Entry'!N62+'Energy Data Entry'!S62+'Energy Data Entry'!X62)</f>
        <v>13529.95</v>
      </c>
      <c r="P41" s="403">
        <f>'Energy Data Entry'!AF62</f>
        <v>0</v>
      </c>
      <c r="Q41" s="151">
        <f>_xlfn.IFERROR(Table4[[#This Row],[Total electric cost]]/Table4[[#This Row],[Electric kWh usage]],"")</f>
        <v>0.08454633506217585</v>
      </c>
      <c r="R41" s="151">
        <f>_xlfn.IFERROR(Table4[[#This Row],[Electric Demand Cost]]/Table4[[#This Row],[Total Electric Demand (Billed)]],_xlfn.IFERROR(Table4[[#This Row],[Electric Demand Cost]]/Table4[[#This Row],[Total Electric Demand (Actual)]],""))</f>
        <v>11.5</v>
      </c>
      <c r="S41" s="85">
        <f>_xlfn.IFERROR(Table4[[#This Row],[Total Gas cost]]+Table4[[#This Row],[Total electric cost]],"")</f>
        <v>13529.95</v>
      </c>
      <c r="T41" s="111"/>
      <c r="U41" s="85">
        <f>_xlfn.IFERROR(Table4[[#This Row],[Total Energy Cost]]/Table4[[#This Row],[Monthly Flow]],"")</f>
        <v>202.06018518518516</v>
      </c>
      <c r="V41" s="85">
        <f>_xlfn.IFERROR(Table4[[#This Row],[Total Energy Cost]]/Table4[[#This Row],[Total BOD removed]],"")</f>
        <v>0.13614970469380172</v>
      </c>
      <c r="W41" s="116"/>
      <c r="X41" s="86">
        <f>IF('Process Data Entry'!G43="","",'Process Data Entry'!G43)</f>
        <v>37</v>
      </c>
      <c r="Y41" s="86">
        <f>IF('Process Data Entry'!H43="","",'Process Data Entry'!H43)</f>
        <v>14</v>
      </c>
      <c r="Z41" s="86">
        <f>IF('Process Data Entry'!I43="",0,'Process Data Entry'!I43)</f>
        <v>0</v>
      </c>
      <c r="AA41" s="86">
        <f>IF('Process Data Entry'!J43="","",'Process Data Entry'!J43)</f>
        <v>3</v>
      </c>
      <c r="AB41" s="86">
        <f>IF('Process Data Entry'!K43="","",'Process Data Entry'!K43)</f>
        <v>1.3</v>
      </c>
      <c r="AC41" s="86">
        <f>IF('Process Data Entry'!L43="","",'Process Data Entry'!L43)</f>
        <v>8.3</v>
      </c>
      <c r="AD41" s="87">
        <f t="shared" si="3"/>
        <v>25.7</v>
      </c>
      <c r="AE41" s="87">
        <f t="shared" si="4"/>
        <v>14352.07248</v>
      </c>
      <c r="AF41" s="150">
        <f>IF('Process Data Entry'!M43="","",'Process Data Entry'!M43)</f>
        <v>7.8</v>
      </c>
      <c r="AG41" s="150">
        <f>IF('Process Data Entry'!N43="","",'Process Data Entry'!N43)</f>
        <v>0.5</v>
      </c>
      <c r="AH41" s="81">
        <f t="shared" si="5"/>
        <v>4076.6587200000004</v>
      </c>
    </row>
    <row r="42" spans="1:34" ht="15">
      <c r="A42" s="78">
        <v>4</v>
      </c>
      <c r="B42" s="88">
        <f>'Energy Data Entry'!B63</f>
        <v>43344</v>
      </c>
      <c r="C42" s="80">
        <f>IF(OR('Process Data Entry'!C44="",'Process Data Entry'!C44=0),"",'Process Data Entry'!C44)</f>
        <v>2.22</v>
      </c>
      <c r="D42" s="81">
        <f>IF(Table4[[#This Row],[Avg Daily Flow]]="","",_xlfn.DAYS(EOMONTH(B42,0),EOMONTH(B42,-1))*C42)</f>
        <v>66.60000000000001</v>
      </c>
      <c r="E42" s="81">
        <f>IF('Process Data Entry'!F44="","",'Process Data Entry'!F44)</f>
        <v>3563.1732600000005</v>
      </c>
      <c r="F42" s="82">
        <f>IF(Table4[[#This Row],[BOD removed]]="","",Table4[[#This Row],[BOD removed]]*_xlfn.DAYS(EOMONTH(Table4[[#This Row],[Column2]],0),EOMONTH(Table4[[#This Row],[Column2]],-1)))</f>
        <v>106895.19780000001</v>
      </c>
      <c r="G42" s="83">
        <f>IF(SUM('Energy Data Entry'!C63,'Energy Data Entry'!H63,'Energy Data Entry'!M63,'Energy Data Entry'!R63,'Energy Data Entry'!W63)=0,"",SUM('Energy Data Entry'!C63,'Energy Data Entry'!H63,'Energy Data Entry'!M63,'Energy Data Entry'!R63,'Energy Data Entry'!W63))</f>
        <v>173426</v>
      </c>
      <c r="H42" s="83">
        <f>'Energy Data Entry'!AG63</f>
        <v>0</v>
      </c>
      <c r="I42" s="83">
        <f>IF(Table4[[#This Row],[Electric kWh usage]]="","",Table4[[#This Row],[Gas kWh usage]]+Table4[[#This Row],[Electric kWh usage]])</f>
        <v>173426</v>
      </c>
      <c r="J42" s="82">
        <f>IF(OR(Table4[[#This Row],[Electric kWh usage]]="",Table4[[#This Row],[Monthly Flow]]=""),"",(Table4[[#This Row],[Electric kWh usage]]+Table4[[#This Row],[Gas kWh usage]])/Table4[[#This Row],[Monthly Flow]])</f>
        <v>2603.9939939939936</v>
      </c>
      <c r="K42" s="84">
        <f>_xlfn.IFERROR(IF(Table4[[#This Row],[Electric kWh usage]]="","",(Table4[[#This Row],[Electric kWh usage]]+Table4[[#This Row],[Gas kWh usage]])/Table4[[#This Row],[Total BOD removed]]),"")</f>
        <v>1.622392806873126</v>
      </c>
      <c r="L42" s="83">
        <f>IF('Energy Data Entry'!E63+'Energy Data Entry'!J63+'Energy Data Entry'!O63+'Energy Data Entry'!T63+'Energy Data Entry'!Y63=0,"",'Energy Data Entry'!E63+'Energy Data Entry'!J63+'Energy Data Entry'!O63+'Energy Data Entry'!T63+'Energy Data Entry'!Y63)</f>
        <v>283</v>
      </c>
      <c r="M42" s="83">
        <f>IF('Energy Data Entry'!F63+'Energy Data Entry'!K63+'Energy Data Entry'!P63++'Energy Data Entry'!U63+'Energy Data Entry'!Z63=0,"",'Energy Data Entry'!F63+'Energy Data Entry'!K63+'Energy Data Entry'!P63++'Energy Data Entry'!U63+'Energy Data Entry'!Z63)</f>
        <v>283</v>
      </c>
      <c r="N42" s="85">
        <f>IF('Energy Data Entry'!G63+'Energy Data Entry'!L63+'Energy Data Entry'!Q63+'Energy Data Entry'!V63+'Energy Data Entry'!AA63=0,"",'Energy Data Entry'!G63+'Energy Data Entry'!L63+'Energy Data Entry'!Q63+'Energy Data Entry'!V63+'Energy Data Entry'!AA63)</f>
        <v>3254.5</v>
      </c>
      <c r="O42" s="85">
        <f>IF('Energy Data Entry'!D63+'Energy Data Entry'!I63+'Energy Data Entry'!N63+'Energy Data Entry'!S63+'Energy Data Entry'!X63=0,"",'Energy Data Entry'!D63+'Energy Data Entry'!I63+'Energy Data Entry'!N63+'Energy Data Entry'!S63+'Energy Data Entry'!X63)</f>
        <v>14527.19</v>
      </c>
      <c r="P42" s="403">
        <f>'Energy Data Entry'!AF63</f>
        <v>0</v>
      </c>
      <c r="Q42" s="151">
        <f>_xlfn.IFERROR(Table4[[#This Row],[Total electric cost]]/Table4[[#This Row],[Electric kWh usage]],"")</f>
        <v>0.08376592898412002</v>
      </c>
      <c r="R42" s="151">
        <f>_xlfn.IFERROR(Table4[[#This Row],[Electric Demand Cost]]/Table4[[#This Row],[Total Electric Demand (Billed)]],_xlfn.IFERROR(Table4[[#This Row],[Electric Demand Cost]]/Table4[[#This Row],[Total Electric Demand (Actual)]],""))</f>
        <v>11.5</v>
      </c>
      <c r="S42" s="85">
        <f>_xlfn.IFERROR(Table4[[#This Row],[Total Gas cost]]+Table4[[#This Row],[Total electric cost]],"")</f>
        <v>14527.19</v>
      </c>
      <c r="T42" s="111"/>
      <c r="U42" s="85">
        <f>_xlfn.IFERROR(Table4[[#This Row],[Total Energy Cost]]/Table4[[#This Row],[Monthly Flow]],"")</f>
        <v>218.12597597597596</v>
      </c>
      <c r="V42" s="85">
        <f>_xlfn.IFERROR(Table4[[#This Row],[Total Energy Cost]]/Table4[[#This Row],[Total BOD removed]],"")</f>
        <v>0.13590124064488143</v>
      </c>
      <c r="W42" s="116"/>
      <c r="X42" s="86">
        <f>IF('Process Data Entry'!G44="","",'Process Data Entry'!G44)</f>
        <v>35</v>
      </c>
      <c r="Y42" s="86">
        <f>IF('Process Data Entry'!H44="","",'Process Data Entry'!H44)</f>
        <v>16</v>
      </c>
      <c r="Z42" s="86">
        <f>IF('Process Data Entry'!I44="",0,'Process Data Entry'!I44)</f>
        <v>0</v>
      </c>
      <c r="AA42" s="86">
        <f>IF('Process Data Entry'!J44="","",'Process Data Entry'!J44)</f>
        <v>2.9</v>
      </c>
      <c r="AB42" s="86">
        <f>IF('Process Data Entry'!K44="","",'Process Data Entry'!K44)</f>
        <v>1.1</v>
      </c>
      <c r="AC42" s="86">
        <f>IF('Process Data Entry'!L44="","",'Process Data Entry'!L44)</f>
        <v>10.3</v>
      </c>
      <c r="AD42" s="87">
        <f t="shared" si="3"/>
        <v>21.799999999999997</v>
      </c>
      <c r="AE42" s="87">
        <f t="shared" si="4"/>
        <v>12108.6792</v>
      </c>
      <c r="AF42" s="150">
        <f>IF('Process Data Entry'!M44="","",'Process Data Entry'!M44)</f>
        <v>8.4</v>
      </c>
      <c r="AG42" s="150">
        <f>IF('Process Data Entry'!N44="","",'Process Data Entry'!N44)</f>
        <v>1.2</v>
      </c>
      <c r="AH42" s="81">
        <f t="shared" si="5"/>
        <v>3999.1968000000006</v>
      </c>
    </row>
    <row r="43" spans="1:34" ht="15">
      <c r="A43" s="78">
        <v>4</v>
      </c>
      <c r="B43" s="88">
        <f>'Energy Data Entry'!B64</f>
        <v>43374</v>
      </c>
      <c r="C43" s="80">
        <f>IF(OR('Process Data Entry'!C45="",'Process Data Entry'!C45=0),"",'Process Data Entry'!C45)</f>
        <v>2.06</v>
      </c>
      <c r="D43" s="81">
        <f>IF(Table4[[#This Row],[Avg Daily Flow]]="","",_xlfn.DAYS(EOMONTH(B43,0),EOMONTH(B43,-1))*C43)</f>
        <v>63.86</v>
      </c>
      <c r="E43" s="81">
        <f>IF('Process Data Entry'!F45="","",'Process Data Entry'!F45)</f>
        <v>3175.79694</v>
      </c>
      <c r="F43" s="82">
        <f>IF(Table4[[#This Row],[BOD removed]]="","",Table4[[#This Row],[BOD removed]]*_xlfn.DAYS(EOMONTH(Table4[[#This Row],[Column2]],0),EOMONTH(Table4[[#This Row],[Column2]],-1)))</f>
        <v>98449.70514</v>
      </c>
      <c r="G43" s="83">
        <f>IF(SUM('Energy Data Entry'!C64,'Energy Data Entry'!H64,'Energy Data Entry'!M64,'Energy Data Entry'!R64,'Energy Data Entry'!W64)=0,"",SUM('Energy Data Entry'!C64,'Energy Data Entry'!H64,'Energy Data Entry'!M64,'Energy Data Entry'!R64,'Energy Data Entry'!W64))</f>
        <v>146392</v>
      </c>
      <c r="H43" s="83">
        <f>'Energy Data Entry'!AG64</f>
        <v>0</v>
      </c>
      <c r="I43" s="83">
        <f>IF(Table4[[#This Row],[Electric kWh usage]]="","",Table4[[#This Row],[Gas kWh usage]]+Table4[[#This Row],[Electric kWh usage]])</f>
        <v>146392</v>
      </c>
      <c r="J43" s="82">
        <f>IF(OR(Table4[[#This Row],[Electric kWh usage]]="",Table4[[#This Row],[Monthly Flow]]=""),"",(Table4[[#This Row],[Electric kWh usage]]+Table4[[#This Row],[Gas kWh usage]])/Table4[[#This Row],[Monthly Flow]])</f>
        <v>2292.3896022549325</v>
      </c>
      <c r="K43" s="84">
        <f>_xlfn.IFERROR(IF(Table4[[#This Row],[Electric kWh usage]]="","",(Table4[[#This Row],[Electric kWh usage]]+Table4[[#This Row],[Gas kWh usage]])/Table4[[#This Row],[Total BOD removed]]),"")</f>
        <v>1.48697245757947</v>
      </c>
      <c r="L43" s="83">
        <f>IF('Energy Data Entry'!E64+'Energy Data Entry'!J64+'Energy Data Entry'!O64+'Energy Data Entry'!T64+'Energy Data Entry'!Y64=0,"",'Energy Data Entry'!E64+'Energy Data Entry'!J64+'Energy Data Entry'!O64+'Energy Data Entry'!T64+'Energy Data Entry'!Y64)</f>
        <v>249</v>
      </c>
      <c r="M43" s="83">
        <f>IF('Energy Data Entry'!F64+'Energy Data Entry'!K64+'Energy Data Entry'!P64++'Energy Data Entry'!U64+'Energy Data Entry'!Z64=0,"",'Energy Data Entry'!F64+'Energy Data Entry'!K64+'Energy Data Entry'!P64++'Energy Data Entry'!U64+'Energy Data Entry'!Z64)</f>
        <v>249</v>
      </c>
      <c r="N43" s="85">
        <f>IF('Energy Data Entry'!G64+'Energy Data Entry'!L64+'Energy Data Entry'!Q64+'Energy Data Entry'!V64+'Energy Data Entry'!AA64=0,"",'Energy Data Entry'!G64+'Energy Data Entry'!L64+'Energy Data Entry'!Q64+'Energy Data Entry'!V64+'Energy Data Entry'!AA64)</f>
        <v>2863.5</v>
      </c>
      <c r="O43" s="85">
        <f>IF('Energy Data Entry'!D64+'Energy Data Entry'!I64+'Energy Data Entry'!N64+'Energy Data Entry'!S64+'Energy Data Entry'!X64=0,"",'Energy Data Entry'!D64+'Energy Data Entry'!I64+'Energy Data Entry'!N64+'Energy Data Entry'!S64+'Energy Data Entry'!X64)</f>
        <v>12378.98</v>
      </c>
      <c r="P43" s="403">
        <f>'Energy Data Entry'!AF64</f>
        <v>0</v>
      </c>
      <c r="Q43" s="151">
        <f>_xlfn.IFERROR(Table4[[#This Row],[Total electric cost]]/Table4[[#This Row],[Electric kWh usage]],"")</f>
        <v>0.08456049510902235</v>
      </c>
      <c r="R43" s="151">
        <f>_xlfn.IFERROR(Table4[[#This Row],[Electric Demand Cost]]/Table4[[#This Row],[Total Electric Demand (Billed)]],_xlfn.IFERROR(Table4[[#This Row],[Electric Demand Cost]]/Table4[[#This Row],[Total Electric Demand (Actual)]],""))</f>
        <v>11.5</v>
      </c>
      <c r="S43" s="85">
        <f>_xlfn.IFERROR(Table4[[#This Row],[Total Gas cost]]+Table4[[#This Row],[Total electric cost]],"")</f>
        <v>12378.98</v>
      </c>
      <c r="T43" s="111"/>
      <c r="U43" s="85">
        <f>_xlfn.IFERROR(Table4[[#This Row],[Total Energy Cost]]/Table4[[#This Row],[Monthly Flow]],"")</f>
        <v>193.84559974945194</v>
      </c>
      <c r="V43" s="85">
        <f>_xlfn.IFERROR(Table4[[#This Row],[Total Energy Cost]]/Table4[[#This Row],[Total BOD removed]],"")</f>
        <v>0.1257391272263997</v>
      </c>
      <c r="W43" s="116"/>
      <c r="X43" s="86">
        <f>IF('Process Data Entry'!G45="","",'Process Data Entry'!G45)</f>
        <v>38</v>
      </c>
      <c r="Y43" s="86">
        <f>IF('Process Data Entry'!H45="","",'Process Data Entry'!H45)</f>
        <v>17</v>
      </c>
      <c r="Z43" s="86">
        <f>IF('Process Data Entry'!I45="",0,'Process Data Entry'!I45)</f>
        <v>0</v>
      </c>
      <c r="AA43" s="86">
        <f>IF('Process Data Entry'!J45="","",'Process Data Entry'!J45)</f>
        <v>3.2</v>
      </c>
      <c r="AB43" s="86">
        <f>IF('Process Data Entry'!K45="","",'Process Data Entry'!K45)</f>
        <v>1.6</v>
      </c>
      <c r="AC43" s="86">
        <f>IF('Process Data Entry'!L45="","",'Process Data Entry'!L45)</f>
        <v>11.6</v>
      </c>
      <c r="AD43" s="87">
        <f t="shared" si="3"/>
        <v>23.2</v>
      </c>
      <c r="AE43" s="87">
        <f t="shared" si="4"/>
        <v>12356.14368</v>
      </c>
      <c r="AF43" s="150">
        <f>IF('Process Data Entry'!M45="","",'Process Data Entry'!M45)</f>
        <v>7.4</v>
      </c>
      <c r="AG43" s="150">
        <f>IF('Process Data Entry'!N45="","",'Process Data Entry'!N45)</f>
        <v>0.6</v>
      </c>
      <c r="AH43" s="81">
        <f t="shared" si="5"/>
        <v>3621.6283200000003</v>
      </c>
    </row>
    <row r="44" spans="1:34" ht="15">
      <c r="A44" s="78">
        <v>4</v>
      </c>
      <c r="B44" s="88">
        <f>'Energy Data Entry'!B65</f>
        <v>43405</v>
      </c>
      <c r="C44" s="80">
        <f>IF(OR('Process Data Entry'!C46="",'Process Data Entry'!C46=0),"",'Process Data Entry'!C46)</f>
        <v>1.9</v>
      </c>
      <c r="D44" s="81">
        <f>IF(Table4[[#This Row],[Avg Daily Flow]]="","",_xlfn.DAYS(EOMONTH(B44,0),EOMONTH(B44,-1))*C44)</f>
        <v>57</v>
      </c>
      <c r="E44" s="81">
        <f>IF('Process Data Entry'!F46="","",'Process Data Entry'!F46)</f>
        <v>3172.3692</v>
      </c>
      <c r="F44" s="82">
        <f>IF(Table4[[#This Row],[BOD removed]]="","",Table4[[#This Row],[BOD removed]]*_xlfn.DAYS(EOMONTH(Table4[[#This Row],[Column2]],0),EOMONTH(Table4[[#This Row],[Column2]],-1)))</f>
        <v>95171.076</v>
      </c>
      <c r="G44" s="83">
        <f>IF(SUM('Energy Data Entry'!C65,'Energy Data Entry'!H65,'Energy Data Entry'!M65,'Energy Data Entry'!R65,'Energy Data Entry'!W65)=0,"",SUM('Energy Data Entry'!C65,'Energy Data Entry'!H65,'Energy Data Entry'!M65,'Energy Data Entry'!R65,'Energy Data Entry'!W65))</f>
        <v>141007</v>
      </c>
      <c r="H44" s="83">
        <f>'Energy Data Entry'!AG65</f>
        <v>0</v>
      </c>
      <c r="I44" s="83">
        <f>IF(Table4[[#This Row],[Electric kWh usage]]="","",Table4[[#This Row],[Gas kWh usage]]+Table4[[#This Row],[Electric kWh usage]])</f>
        <v>141007</v>
      </c>
      <c r="J44" s="82">
        <f>IF(OR(Table4[[#This Row],[Electric kWh usage]]="",Table4[[#This Row],[Monthly Flow]]=""),"",(Table4[[#This Row],[Electric kWh usage]]+Table4[[#This Row],[Gas kWh usage]])/Table4[[#This Row],[Monthly Flow]])</f>
        <v>2473.8070175438597</v>
      </c>
      <c r="K44" s="84">
        <f>_xlfn.IFERROR(IF(Table4[[#This Row],[Electric kWh usage]]="","",(Table4[[#This Row],[Electric kWh usage]]+Table4[[#This Row],[Gas kWh usage]])/Table4[[#This Row],[Total BOD removed]]),"")</f>
        <v>1.4816161162242192</v>
      </c>
      <c r="L44" s="83">
        <f>IF('Energy Data Entry'!E65+'Energy Data Entry'!J65+'Energy Data Entry'!O65+'Energy Data Entry'!T65+'Energy Data Entry'!Y65=0,"",'Energy Data Entry'!E65+'Energy Data Entry'!J65+'Energy Data Entry'!O65+'Energy Data Entry'!T65+'Energy Data Entry'!Y65)</f>
        <v>237</v>
      </c>
      <c r="M44" s="83">
        <f>IF('Energy Data Entry'!F65+'Energy Data Entry'!K65+'Energy Data Entry'!P65++'Energy Data Entry'!U65+'Energy Data Entry'!Z65=0,"",'Energy Data Entry'!F65+'Energy Data Entry'!K65+'Energy Data Entry'!P65++'Energy Data Entry'!U65+'Energy Data Entry'!Z65)</f>
        <v>246</v>
      </c>
      <c r="N44" s="85">
        <f>IF('Energy Data Entry'!G65+'Energy Data Entry'!L65+'Energy Data Entry'!Q65+'Energy Data Entry'!V65+'Energy Data Entry'!AA65=0,"",'Energy Data Entry'!G65+'Energy Data Entry'!L65+'Energy Data Entry'!Q65+'Energy Data Entry'!V65+'Energy Data Entry'!AA65)</f>
        <v>2829</v>
      </c>
      <c r="O44" s="85">
        <f>IF('Energy Data Entry'!D65+'Energy Data Entry'!I65+'Energy Data Entry'!N65+'Energy Data Entry'!S65+'Energy Data Entry'!X65=0,"",'Energy Data Entry'!D65+'Energy Data Entry'!I65+'Energy Data Entry'!N65+'Energy Data Entry'!S65+'Energy Data Entry'!X65)</f>
        <v>11994.455</v>
      </c>
      <c r="P44" s="403">
        <f>'Energy Data Entry'!AF65</f>
        <v>0</v>
      </c>
      <c r="Q44" s="151">
        <f>_xlfn.IFERROR(Table4[[#This Row],[Total electric cost]]/Table4[[#This Row],[Electric kWh usage]],"")</f>
        <v>0.0850628337600261</v>
      </c>
      <c r="R44" s="151">
        <f>_xlfn.IFERROR(Table4[[#This Row],[Electric Demand Cost]]/Table4[[#This Row],[Total Electric Demand (Billed)]],_xlfn.IFERROR(Table4[[#This Row],[Electric Demand Cost]]/Table4[[#This Row],[Total Electric Demand (Actual)]],""))</f>
        <v>11.5</v>
      </c>
      <c r="S44" s="85">
        <f>_xlfn.IFERROR(Table4[[#This Row],[Total Gas cost]]+Table4[[#This Row],[Total electric cost]],"")</f>
        <v>11994.455</v>
      </c>
      <c r="T44" s="111"/>
      <c r="U44" s="85">
        <f>_xlfn.IFERROR(Table4[[#This Row],[Total Energy Cost]]/Table4[[#This Row],[Monthly Flow]],"")</f>
        <v>210.42903508771929</v>
      </c>
      <c r="V44" s="85">
        <f>_xlfn.IFERROR(Table4[[#This Row],[Total Energy Cost]]/Table4[[#This Row],[Total BOD removed]],"")</f>
        <v>0.12603046539055626</v>
      </c>
      <c r="W44" s="116"/>
      <c r="X44" s="86">
        <f>IF('Process Data Entry'!G46="","",'Process Data Entry'!G46)</f>
        <v>32</v>
      </c>
      <c r="Y44" s="86">
        <f>IF('Process Data Entry'!H46="","",'Process Data Entry'!H46)</f>
        <v>16</v>
      </c>
      <c r="Z44" s="86">
        <f>IF('Process Data Entry'!I46="",0,'Process Data Entry'!I46)</f>
        <v>0</v>
      </c>
      <c r="AA44" s="86">
        <f>IF('Process Data Entry'!J46="","",'Process Data Entry'!J46)</f>
        <v>3.3</v>
      </c>
      <c r="AB44" s="86">
        <f>IF('Process Data Entry'!K46="","",'Process Data Entry'!K46)</f>
        <v>1.1</v>
      </c>
      <c r="AC44" s="86">
        <f>IF('Process Data Entry'!L46="","",'Process Data Entry'!L46)</f>
        <v>8.6</v>
      </c>
      <c r="AD44" s="87">
        <f t="shared" si="3"/>
        <v>20.1</v>
      </c>
      <c r="AE44" s="87">
        <f t="shared" si="4"/>
        <v>9555.138</v>
      </c>
      <c r="AF44" s="150">
        <f>IF('Process Data Entry'!M46="","",'Process Data Entry'!M46)</f>
        <v>7.6</v>
      </c>
      <c r="AG44" s="150">
        <f>IF('Process Data Entry'!N46="","",'Process Data Entry'!N46)</f>
        <v>1.2</v>
      </c>
      <c r="AH44" s="81">
        <f t="shared" si="5"/>
        <v>3042.432</v>
      </c>
    </row>
    <row r="45" spans="1:34" ht="15">
      <c r="A45" s="78">
        <v>4</v>
      </c>
      <c r="B45" s="88">
        <f>'Energy Data Entry'!B66</f>
        <v>43435</v>
      </c>
      <c r="C45" s="80">
        <f>IF(OR('Process Data Entry'!C47="",'Process Data Entry'!C47=0),"",'Process Data Entry'!C47)</f>
        <v>2.5</v>
      </c>
      <c r="D45" s="81">
        <f>IF(Table4[[#This Row],[Avg Daily Flow]]="","",_xlfn.DAYS(EOMONTH(B45,0),EOMONTH(B45,-1))*C45)</f>
        <v>77.5</v>
      </c>
      <c r="E45" s="81">
        <f>IF('Process Data Entry'!F47="","",'Process Data Entry'!F47)</f>
        <v>4348.2675</v>
      </c>
      <c r="F45" s="82">
        <f>IF(Table4[[#This Row],[BOD removed]]="","",Table4[[#This Row],[BOD removed]]*_xlfn.DAYS(EOMONTH(Table4[[#This Row],[Column2]],0),EOMONTH(Table4[[#This Row],[Column2]],-1)))</f>
        <v>134796.2925</v>
      </c>
      <c r="G45" s="83">
        <f>IF(SUM('Energy Data Entry'!C66,'Energy Data Entry'!H66,'Energy Data Entry'!M66,'Energy Data Entry'!R66,'Energy Data Entry'!W66)=0,"",SUM('Energy Data Entry'!C66,'Energy Data Entry'!H66,'Energy Data Entry'!M66,'Energy Data Entry'!R66,'Energy Data Entry'!W66))</f>
        <v>218736</v>
      </c>
      <c r="H45" s="83">
        <f>'Energy Data Entry'!AG66</f>
        <v>0</v>
      </c>
      <c r="I45" s="83">
        <f>IF(Table4[[#This Row],[Electric kWh usage]]="","",Table4[[#This Row],[Gas kWh usage]]+Table4[[#This Row],[Electric kWh usage]])</f>
        <v>218736</v>
      </c>
      <c r="J45" s="82">
        <f>IF(OR(Table4[[#This Row],[Electric kWh usage]]="",Table4[[#This Row],[Monthly Flow]]=""),"",(Table4[[#This Row],[Electric kWh usage]]+Table4[[#This Row],[Gas kWh usage]])/Table4[[#This Row],[Monthly Flow]])</f>
        <v>2822.4</v>
      </c>
      <c r="K45" s="84">
        <f>_xlfn.IFERROR(IF(Table4[[#This Row],[Electric kWh usage]]="","",(Table4[[#This Row],[Electric kWh usage]]+Table4[[#This Row],[Gas kWh usage]])/Table4[[#This Row],[Total BOD removed]]),"")</f>
        <v>1.6227152538338543</v>
      </c>
      <c r="L45" s="83">
        <f>IF('Energy Data Entry'!E66+'Energy Data Entry'!J66+'Energy Data Entry'!O66+'Energy Data Entry'!T66+'Energy Data Entry'!Y66=0,"",'Energy Data Entry'!E66+'Energy Data Entry'!J66+'Energy Data Entry'!O66+'Energy Data Entry'!T66+'Energy Data Entry'!Y66)</f>
        <v>364</v>
      </c>
      <c r="M45" s="83">
        <f>IF('Energy Data Entry'!F66+'Energy Data Entry'!K66+'Energy Data Entry'!P66++'Energy Data Entry'!U66+'Energy Data Entry'!Z66=0,"",'Energy Data Entry'!F66+'Energy Data Entry'!K66+'Energy Data Entry'!P66++'Energy Data Entry'!U66+'Energy Data Entry'!Z66)</f>
        <v>364</v>
      </c>
      <c r="N45" s="85">
        <f>IF('Energy Data Entry'!G66+'Energy Data Entry'!L66+'Energy Data Entry'!Q66+'Energy Data Entry'!V66+'Energy Data Entry'!AA66=0,"",'Energy Data Entry'!G66+'Energy Data Entry'!L66+'Energy Data Entry'!Q66+'Energy Data Entry'!V66+'Energy Data Entry'!AA66)</f>
        <v>4186</v>
      </c>
      <c r="O45" s="85">
        <f>IF('Energy Data Entry'!D66+'Energy Data Entry'!I66+'Energy Data Entry'!N66+'Energy Data Entry'!S66+'Energy Data Entry'!X66=0,"",'Energy Data Entry'!D66+'Energy Data Entry'!I66+'Energy Data Entry'!N66+'Energy Data Entry'!S66+'Energy Data Entry'!X66)</f>
        <v>18403.84</v>
      </c>
      <c r="P45" s="403">
        <f>'Energy Data Entry'!AF66</f>
        <v>0</v>
      </c>
      <c r="Q45" s="151">
        <f>_xlfn.IFERROR(Table4[[#This Row],[Total electric cost]]/Table4[[#This Row],[Electric kWh usage]],"")</f>
        <v>0.08413722478238607</v>
      </c>
      <c r="R45" s="151">
        <f>_xlfn.IFERROR(Table4[[#This Row],[Electric Demand Cost]]/Table4[[#This Row],[Total Electric Demand (Billed)]],_xlfn.IFERROR(Table4[[#This Row],[Electric Demand Cost]]/Table4[[#This Row],[Total Electric Demand (Actual)]],""))</f>
        <v>11.5</v>
      </c>
      <c r="S45" s="85">
        <f>_xlfn.IFERROR(Table4[[#This Row],[Total Gas cost]]+Table4[[#This Row],[Total electric cost]],"")</f>
        <v>18403.84</v>
      </c>
      <c r="T45" s="111"/>
      <c r="U45" s="85">
        <f>_xlfn.IFERROR(Table4[[#This Row],[Total Energy Cost]]/Table4[[#This Row],[Monthly Flow]],"")</f>
        <v>237.46890322580646</v>
      </c>
      <c r="V45" s="85">
        <f>_xlfn.IFERROR(Table4[[#This Row],[Total Energy Cost]]/Table4[[#This Row],[Total BOD removed]],"")</f>
        <v>0.13653075806962567</v>
      </c>
      <c r="W45" s="116"/>
      <c r="X45" s="86">
        <f>IF('Process Data Entry'!G47="","",'Process Data Entry'!G47)</f>
        <v>31</v>
      </c>
      <c r="Y45" s="86">
        <f>IF('Process Data Entry'!H47="","",'Process Data Entry'!H47)</f>
        <v>12</v>
      </c>
      <c r="Z45" s="86">
        <f>IF('Process Data Entry'!I47="",0,'Process Data Entry'!I47)</f>
        <v>0</v>
      </c>
      <c r="AA45" s="86">
        <f>IF('Process Data Entry'!J47="","",'Process Data Entry'!J47)</f>
        <v>3.3</v>
      </c>
      <c r="AB45" s="86">
        <f>IF('Process Data Entry'!K47="","",'Process Data Entry'!K47)</f>
        <v>1.5</v>
      </c>
      <c r="AC45" s="86">
        <f>IF('Process Data Entry'!L47="","",'Process Data Entry'!L47)</f>
        <v>11.5</v>
      </c>
      <c r="AD45" s="87">
        <f t="shared" si="3"/>
        <v>16.2</v>
      </c>
      <c r="AE45" s="87">
        <f t="shared" si="4"/>
        <v>10470.869999999999</v>
      </c>
      <c r="AF45" s="150">
        <f>IF('Process Data Entry'!M47="","",'Process Data Entry'!M47)</f>
        <v>8.7</v>
      </c>
      <c r="AG45" s="150">
        <f>IF('Process Data Entry'!N47="","",'Process Data Entry'!N47)</f>
        <v>1.5</v>
      </c>
      <c r="AH45" s="81">
        <f t="shared" si="5"/>
        <v>4653.719999999999</v>
      </c>
    </row>
    <row r="46" spans="1:34" ht="15">
      <c r="A46" s="78">
        <v>4</v>
      </c>
      <c r="B46" s="88">
        <f>'Energy Data Entry'!B67</f>
        <v>43466</v>
      </c>
      <c r="C46" s="80">
        <f>IF(OR('Process Data Entry'!C48="",'Process Data Entry'!C48=0),"",'Process Data Entry'!C48)</f>
        <v>1.6</v>
      </c>
      <c r="D46" s="81">
        <f>IF(Table4[[#This Row],[Avg Daily Flow]]="","",_xlfn.DAYS(EOMONTH(B46,0),EOMONTH(B46,-1))*C46)</f>
        <v>49.6</v>
      </c>
      <c r="E46" s="81">
        <f>IF('Process Data Entry'!F48="","",'Process Data Entry'!F48)</f>
        <v>2614.0896000000002</v>
      </c>
      <c r="F46" s="82">
        <f>IF(Table4[[#This Row],[BOD removed]]="","",Table4[[#This Row],[BOD removed]]*_xlfn.DAYS(EOMONTH(Table4[[#This Row],[Column2]],0),EOMONTH(Table4[[#This Row],[Column2]],-1)))</f>
        <v>81036.7776</v>
      </c>
      <c r="G46" s="83">
        <f>IF(SUM('Energy Data Entry'!C67,'Energy Data Entry'!H67,'Energy Data Entry'!M67,'Energy Data Entry'!R67,'Energy Data Entry'!W67)=0,"",SUM('Energy Data Entry'!C67,'Energy Data Entry'!H67,'Energy Data Entry'!M67,'Energy Data Entry'!R67,'Energy Data Entry'!W67))</f>
        <v>126444</v>
      </c>
      <c r="H46" s="83">
        <f>'Energy Data Entry'!AG67</f>
        <v>0</v>
      </c>
      <c r="I46" s="83">
        <f>IF(Table4[[#This Row],[Electric kWh usage]]="","",Table4[[#This Row],[Gas kWh usage]]+Table4[[#This Row],[Electric kWh usage]])</f>
        <v>126444</v>
      </c>
      <c r="J46" s="82">
        <f>IF(OR(Table4[[#This Row],[Electric kWh usage]]="",Table4[[#This Row],[Monthly Flow]]=""),"",(Table4[[#This Row],[Electric kWh usage]]+Table4[[#This Row],[Gas kWh usage]])/Table4[[#This Row],[Monthly Flow]])</f>
        <v>2549.274193548387</v>
      </c>
      <c r="K46" s="84">
        <f>_xlfn.IFERROR(IF(Table4[[#This Row],[Electric kWh usage]]="","",(Table4[[#This Row],[Electric kWh usage]]+Table4[[#This Row],[Gas kWh usage]])/Table4[[#This Row],[Total BOD removed]]),"")</f>
        <v>1.5603285785144547</v>
      </c>
      <c r="L46" s="83">
        <f>IF('Energy Data Entry'!E67+'Energy Data Entry'!J67+'Energy Data Entry'!O67+'Energy Data Entry'!T67+'Energy Data Entry'!Y67=0,"",'Energy Data Entry'!E67+'Energy Data Entry'!J67+'Energy Data Entry'!O67+'Energy Data Entry'!T67+'Energy Data Entry'!Y67)</f>
        <v>245</v>
      </c>
      <c r="M46" s="83">
        <f>IF('Energy Data Entry'!F67+'Energy Data Entry'!K67+'Energy Data Entry'!P67++'Energy Data Entry'!U67+'Energy Data Entry'!Z67=0,"",'Energy Data Entry'!F67+'Energy Data Entry'!K67+'Energy Data Entry'!P67++'Energy Data Entry'!U67+'Energy Data Entry'!Z67)</f>
        <v>255</v>
      </c>
      <c r="N46" s="85">
        <f>IF('Energy Data Entry'!G67+'Energy Data Entry'!L67+'Energy Data Entry'!Q67+'Energy Data Entry'!V67+'Energy Data Entry'!AA67=0,"",'Energy Data Entry'!G67+'Energy Data Entry'!L67+'Energy Data Entry'!Q67+'Energy Data Entry'!V67+'Energy Data Entry'!AA67)</f>
        <v>2932.5</v>
      </c>
      <c r="O46" s="85">
        <f>IF('Energy Data Entry'!D67+'Energy Data Entry'!I67+'Energy Data Entry'!N67+'Energy Data Entry'!S67+'Energy Data Entry'!X67=0,"",'Energy Data Entry'!D67+'Energy Data Entry'!I67+'Energy Data Entry'!N67+'Energy Data Entry'!S67+'Energy Data Entry'!X67)</f>
        <v>11151.36</v>
      </c>
      <c r="P46" s="403">
        <f>'Energy Data Entry'!AF67</f>
        <v>0</v>
      </c>
      <c r="Q46" s="151">
        <f>_xlfn.IFERROR(Table4[[#This Row],[Total electric cost]]/Table4[[#This Row],[Electric kWh usage]],"")</f>
        <v>0.0881920850336908</v>
      </c>
      <c r="R46" s="151">
        <f>_xlfn.IFERROR(Table4[[#This Row],[Electric Demand Cost]]/Table4[[#This Row],[Total Electric Demand (Billed)]],_xlfn.IFERROR(Table4[[#This Row],[Electric Demand Cost]]/Table4[[#This Row],[Total Electric Demand (Actual)]],""))</f>
        <v>11.5</v>
      </c>
      <c r="S46" s="85">
        <f>_xlfn.IFERROR(Table4[[#This Row],[Total Gas cost]]+Table4[[#This Row],[Total electric cost]],"")</f>
        <v>11151.36</v>
      </c>
      <c r="T46" s="111"/>
      <c r="U46" s="85">
        <f>_xlfn.IFERROR(Table4[[#This Row],[Total Energy Cost]]/Table4[[#This Row],[Monthly Flow]],"")</f>
        <v>224.82580645161292</v>
      </c>
      <c r="V46" s="85">
        <f>_xlfn.IFERROR(Table4[[#This Row],[Total Energy Cost]]/Table4[[#This Row],[Total BOD removed]],"")</f>
        <v>0.1376086306768447</v>
      </c>
      <c r="W46" s="116"/>
      <c r="X46" s="86">
        <f>IF('Process Data Entry'!G48="","",'Process Data Entry'!G48)</f>
        <v>37</v>
      </c>
      <c r="Y46" s="86">
        <f>IF('Process Data Entry'!H48="","",'Process Data Entry'!H48)</f>
        <v>16</v>
      </c>
      <c r="Z46" s="86">
        <f>IF('Process Data Entry'!I48="",0,'Process Data Entry'!I48)</f>
        <v>0</v>
      </c>
      <c r="AA46" s="86">
        <f>IF('Process Data Entry'!J48="","",'Process Data Entry'!J48)</f>
        <v>3</v>
      </c>
      <c r="AB46" s="86">
        <f>IF('Process Data Entry'!K48="","",'Process Data Entry'!K48)</f>
        <v>0.8</v>
      </c>
      <c r="AC46" s="86">
        <f>IF('Process Data Entry'!L48="","",'Process Data Entry'!L48)</f>
        <v>9.5</v>
      </c>
      <c r="AD46" s="87">
        <f t="shared" si="3"/>
        <v>24.5</v>
      </c>
      <c r="AE46" s="87">
        <f t="shared" si="4"/>
        <v>10134.768</v>
      </c>
      <c r="AF46" s="150">
        <f>IF('Process Data Entry'!M48="","",'Process Data Entry'!M48)</f>
        <v>9.5</v>
      </c>
      <c r="AG46" s="150">
        <f>IF('Process Data Entry'!N48="","",'Process Data Entry'!N48)</f>
        <v>0.8</v>
      </c>
      <c r="AH46" s="81">
        <f t="shared" si="5"/>
        <v>3598.8767999999995</v>
      </c>
    </row>
    <row r="47" spans="1:34" ht="15">
      <c r="A47" s="78">
        <v>4</v>
      </c>
      <c r="B47" s="88">
        <f>'Energy Data Entry'!B68</f>
        <v>43497</v>
      </c>
      <c r="C47" s="80">
        <f>IF(OR('Process Data Entry'!C49="",'Process Data Entry'!C49=0),"",'Process Data Entry'!C49)</f>
        <v>1.6400000000000001</v>
      </c>
      <c r="D47" s="81">
        <f>IF(Table4[[#This Row],[Avg Daily Flow]]="","",_xlfn.DAYS(EOMONTH(B47,0),EOMONTH(B47,-1))*C47)</f>
        <v>45.92</v>
      </c>
      <c r="E47" s="81">
        <f>IF('Process Data Entry'!F49="","",'Process Data Entry'!F49)</f>
        <v>1909.3929600000001</v>
      </c>
      <c r="F47" s="82">
        <f>IF(Table4[[#This Row],[BOD removed]]="","",Table4[[#This Row],[BOD removed]]*_xlfn.DAYS(EOMONTH(Table4[[#This Row],[Column2]],0),EOMONTH(Table4[[#This Row],[Column2]],-1)))</f>
        <v>53463.00288</v>
      </c>
      <c r="G47" s="83">
        <f>IF(SUM('Energy Data Entry'!C68,'Energy Data Entry'!H68,'Energy Data Entry'!M68,'Energy Data Entry'!R68,'Energy Data Entry'!W68)=0,"",SUM('Energy Data Entry'!C68,'Energy Data Entry'!H68,'Energy Data Entry'!M68,'Energy Data Entry'!R68,'Energy Data Entry'!W68))</f>
        <v>143491</v>
      </c>
      <c r="H47" s="83">
        <f>'Energy Data Entry'!AG68</f>
        <v>0</v>
      </c>
      <c r="I47" s="83">
        <f>IF(Table4[[#This Row],[Electric kWh usage]]="","",Table4[[#This Row],[Gas kWh usage]]+Table4[[#This Row],[Electric kWh usage]])</f>
        <v>143491</v>
      </c>
      <c r="J47" s="82">
        <f>IF(OR(Table4[[#This Row],[Electric kWh usage]]="",Table4[[#This Row],[Monthly Flow]]=""),"",(Table4[[#This Row],[Electric kWh usage]]+Table4[[#This Row],[Gas kWh usage]])/Table4[[#This Row],[Monthly Flow]])</f>
        <v>3124.804006968641</v>
      </c>
      <c r="K47" s="84">
        <f>_xlfn.IFERROR(IF(Table4[[#This Row],[Electric kWh usage]]="","",(Table4[[#This Row],[Electric kWh usage]]+Table4[[#This Row],[Gas kWh usage]])/Table4[[#This Row],[Total BOD removed]]),"")</f>
        <v>2.6839307983143352</v>
      </c>
      <c r="L47" s="83">
        <f>IF('Energy Data Entry'!E68+'Energy Data Entry'!J68+'Energy Data Entry'!O68+'Energy Data Entry'!T68+'Energy Data Entry'!Y68=0,"",'Energy Data Entry'!E68+'Energy Data Entry'!J68+'Energy Data Entry'!O68+'Energy Data Entry'!T68+'Energy Data Entry'!Y68)</f>
        <v>254</v>
      </c>
      <c r="M47" s="83">
        <f>IF('Energy Data Entry'!F68+'Energy Data Entry'!K68+'Energy Data Entry'!P68++'Energy Data Entry'!U68+'Energy Data Entry'!Z68=0,"",'Energy Data Entry'!F68+'Energy Data Entry'!K68+'Energy Data Entry'!P68++'Energy Data Entry'!U68+'Energy Data Entry'!Z68)</f>
        <v>255</v>
      </c>
      <c r="N47" s="85">
        <f>IF('Energy Data Entry'!G68+'Energy Data Entry'!L68+'Energy Data Entry'!Q68+'Energy Data Entry'!V68+'Energy Data Entry'!AA68=0,"",'Energy Data Entry'!G68+'Energy Data Entry'!L68+'Energy Data Entry'!Q68+'Energy Data Entry'!V68+'Energy Data Entry'!AA68)</f>
        <v>2932.5</v>
      </c>
      <c r="O47" s="85">
        <f>IF('Energy Data Entry'!D68+'Energy Data Entry'!I68+'Energy Data Entry'!N68+'Energy Data Entry'!S68+'Energy Data Entry'!X68=0,"",'Energy Data Entry'!D68+'Energy Data Entry'!I68+'Energy Data Entry'!N68+'Energy Data Entry'!S68+'Energy Data Entry'!X68)</f>
        <v>12259.415</v>
      </c>
      <c r="P47" s="403">
        <f>'Energy Data Entry'!AF68</f>
        <v>0</v>
      </c>
      <c r="Q47" s="151">
        <f>_xlfn.IFERROR(Table4[[#This Row],[Total electric cost]]/Table4[[#This Row],[Electric kWh usage]],"")</f>
        <v>0.08543682182157766</v>
      </c>
      <c r="R47" s="151">
        <f>_xlfn.IFERROR(Table4[[#This Row],[Electric Demand Cost]]/Table4[[#This Row],[Total Electric Demand (Billed)]],_xlfn.IFERROR(Table4[[#This Row],[Electric Demand Cost]]/Table4[[#This Row],[Total Electric Demand (Actual)]],""))</f>
        <v>11.5</v>
      </c>
      <c r="S47" s="85">
        <f>_xlfn.IFERROR(Table4[[#This Row],[Total Gas cost]]+Table4[[#This Row],[Total electric cost]],"")</f>
        <v>12259.415</v>
      </c>
      <c r="T47" s="111"/>
      <c r="U47" s="85">
        <f>_xlfn.IFERROR(Table4[[#This Row],[Total Energy Cost]]/Table4[[#This Row],[Monthly Flow]],"")</f>
        <v>266.9733231707317</v>
      </c>
      <c r="V47" s="85">
        <f>_xlfn.IFERROR(Table4[[#This Row],[Total Energy Cost]]/Table4[[#This Row],[Total BOD removed]],"")</f>
        <v>0.22930651739702657</v>
      </c>
      <c r="W47" s="116"/>
      <c r="X47" s="86">
        <f>IF('Process Data Entry'!G49="","",'Process Data Entry'!G49)</f>
        <v>35</v>
      </c>
      <c r="Y47" s="86">
        <f>IF('Process Data Entry'!H49="","",'Process Data Entry'!H49)</f>
        <v>11</v>
      </c>
      <c r="Z47" s="86">
        <f>IF('Process Data Entry'!I49="",0,'Process Data Entry'!I49)</f>
        <v>0</v>
      </c>
      <c r="AA47" s="86">
        <f>IF('Process Data Entry'!J49="","",'Process Data Entry'!J49)</f>
        <v>2.7</v>
      </c>
      <c r="AB47" s="86">
        <f>IF('Process Data Entry'!K49="","",'Process Data Entry'!K49)</f>
        <v>1.1</v>
      </c>
      <c r="AC47" s="86">
        <f>IF('Process Data Entry'!L49="","",'Process Data Entry'!L49)</f>
        <v>11.4</v>
      </c>
      <c r="AD47" s="87">
        <f t="shared" si="3"/>
        <v>20.9</v>
      </c>
      <c r="AE47" s="87">
        <f t="shared" si="4"/>
        <v>8004.13152</v>
      </c>
      <c r="AF47" s="150">
        <f>IF('Process Data Entry'!M49="","",'Process Data Entry'!M49)</f>
        <v>6.8</v>
      </c>
      <c r="AG47" s="150">
        <f>IF('Process Data Entry'!N49="","",'Process Data Entry'!N49)</f>
        <v>1.5</v>
      </c>
      <c r="AH47" s="81">
        <f t="shared" si="5"/>
        <v>2029.75584</v>
      </c>
    </row>
    <row r="48" spans="1:34" ht="15">
      <c r="A48" s="78">
        <v>4</v>
      </c>
      <c r="B48" s="88">
        <f>'Energy Data Entry'!B69</f>
        <v>43525</v>
      </c>
      <c r="C48" s="80">
        <f>IF(OR('Process Data Entry'!C50="",'Process Data Entry'!C50=0),"",'Process Data Entry'!C50)</f>
        <v>2.44</v>
      </c>
      <c r="D48" s="81">
        <f>IF(Table4[[#This Row],[Avg Daily Flow]]="","",_xlfn.DAYS(EOMONTH(B48,0),EOMONTH(B48,-1))*C48)</f>
        <v>75.64</v>
      </c>
      <c r="E48" s="81">
        <f>IF('Process Data Entry'!F50="","",'Process Data Entry'!F50)</f>
        <v>3632.4035999999996</v>
      </c>
      <c r="F48" s="82">
        <f>IF(Table4[[#This Row],[BOD removed]]="","",Table4[[#This Row],[BOD removed]]*_xlfn.DAYS(EOMONTH(Table4[[#This Row],[Column2]],0),EOMONTH(Table4[[#This Row],[Column2]],-1)))</f>
        <v>112604.51159999998</v>
      </c>
      <c r="G48" s="83">
        <f>IF(SUM('Energy Data Entry'!C69,'Energy Data Entry'!H69,'Energy Data Entry'!M69,'Energy Data Entry'!R69,'Energy Data Entry'!W69)=0,"",SUM('Energy Data Entry'!C69,'Energy Data Entry'!H69,'Energy Data Entry'!M69,'Energy Data Entry'!R69,'Energy Data Entry'!W69))</f>
        <v>173396</v>
      </c>
      <c r="H48" s="83">
        <f>'Energy Data Entry'!AG69</f>
        <v>0</v>
      </c>
      <c r="I48" s="83">
        <f>IF(Table4[[#This Row],[Electric kWh usage]]="","",Table4[[#This Row],[Gas kWh usage]]+Table4[[#This Row],[Electric kWh usage]])</f>
        <v>173396</v>
      </c>
      <c r="J48" s="82">
        <f>IF(OR(Table4[[#This Row],[Electric kWh usage]]="",Table4[[#This Row],[Monthly Flow]]=""),"",(Table4[[#This Row],[Electric kWh usage]]+Table4[[#This Row],[Gas kWh usage]])/Table4[[#This Row],[Monthly Flow]])</f>
        <v>2292.3849814912746</v>
      </c>
      <c r="K48" s="84">
        <f>_xlfn.IFERROR(IF(Table4[[#This Row],[Electric kWh usage]]="","",(Table4[[#This Row],[Electric kWh usage]]+Table4[[#This Row],[Gas kWh usage]])/Table4[[#This Row],[Total BOD removed]]),"")</f>
        <v>1.5398672534182904</v>
      </c>
      <c r="L48" s="83">
        <f>IF('Energy Data Entry'!E69+'Energy Data Entry'!J69+'Energy Data Entry'!O69+'Energy Data Entry'!T69+'Energy Data Entry'!Y69=0,"",'Energy Data Entry'!E69+'Energy Data Entry'!J69+'Energy Data Entry'!O69+'Energy Data Entry'!T69+'Energy Data Entry'!Y69)</f>
        <v>317</v>
      </c>
      <c r="M48" s="83">
        <f>IF('Energy Data Entry'!F69+'Energy Data Entry'!K69+'Energy Data Entry'!P69++'Energy Data Entry'!U69+'Energy Data Entry'!Z69=0,"",'Energy Data Entry'!F69+'Energy Data Entry'!K69+'Energy Data Entry'!P69++'Energy Data Entry'!U69+'Energy Data Entry'!Z69)</f>
        <v>317</v>
      </c>
      <c r="N48" s="85">
        <f>IF('Energy Data Entry'!G69+'Energy Data Entry'!L69+'Energy Data Entry'!Q69+'Energy Data Entry'!V69+'Energy Data Entry'!AA69=0,"",'Energy Data Entry'!G69+'Energy Data Entry'!L69+'Energy Data Entry'!Q69+'Energy Data Entry'!V69+'Energy Data Entry'!AA69)</f>
        <v>3645.5</v>
      </c>
      <c r="O48" s="85">
        <f>IF('Energy Data Entry'!D69+'Energy Data Entry'!I69+'Energy Data Entry'!N69+'Energy Data Entry'!S69+'Energy Data Entry'!X69=0,"",'Energy Data Entry'!D69+'Energy Data Entry'!I69+'Energy Data Entry'!N69+'Energy Data Entry'!S69+'Energy Data Entry'!X69)</f>
        <v>14916.24</v>
      </c>
      <c r="P48" s="403">
        <f>'Energy Data Entry'!AF69</f>
        <v>0</v>
      </c>
      <c r="Q48" s="151">
        <f>_xlfn.IFERROR(Table4[[#This Row],[Total electric cost]]/Table4[[#This Row],[Electric kWh usage]],"")</f>
        <v>0.08602412973771022</v>
      </c>
      <c r="R48" s="151">
        <f>_xlfn.IFERROR(Table4[[#This Row],[Electric Demand Cost]]/Table4[[#This Row],[Total Electric Demand (Billed)]],_xlfn.IFERROR(Table4[[#This Row],[Electric Demand Cost]]/Table4[[#This Row],[Total Electric Demand (Actual)]],""))</f>
        <v>11.5</v>
      </c>
      <c r="S48" s="85">
        <f>_xlfn.IFERROR(Table4[[#This Row],[Total Gas cost]]+Table4[[#This Row],[Total electric cost]],"")</f>
        <v>14916.24</v>
      </c>
      <c r="T48" s="111"/>
      <c r="U48" s="85">
        <f>_xlfn.IFERROR(Table4[[#This Row],[Total Energy Cost]]/Table4[[#This Row],[Monthly Flow]],"")</f>
        <v>197.20042305658382</v>
      </c>
      <c r="V48" s="85">
        <f>_xlfn.IFERROR(Table4[[#This Row],[Total Energy Cost]]/Table4[[#This Row],[Total BOD removed]],"")</f>
        <v>0.1324657403869065</v>
      </c>
      <c r="W48" s="116"/>
      <c r="X48" s="86">
        <f>IF('Process Data Entry'!G50="","",'Process Data Entry'!G50)</f>
        <v>35</v>
      </c>
      <c r="Y48" s="86">
        <f>IF('Process Data Entry'!H50="","",'Process Data Entry'!H50)</f>
        <v>17</v>
      </c>
      <c r="Z48" s="86">
        <f>IF('Process Data Entry'!I50="",0,'Process Data Entry'!I50)</f>
        <v>0</v>
      </c>
      <c r="AA48" s="86">
        <f>IF('Process Data Entry'!J50="","",'Process Data Entry'!J50)</f>
        <v>3.1</v>
      </c>
      <c r="AB48" s="86">
        <f>IF('Process Data Entry'!K50="","",'Process Data Entry'!K50)</f>
        <v>1.4</v>
      </c>
      <c r="AC48" s="86">
        <f>IF('Process Data Entry'!L50="","",'Process Data Entry'!L50)</f>
        <v>8.4</v>
      </c>
      <c r="AD48" s="87">
        <f t="shared" si="3"/>
        <v>23.5</v>
      </c>
      <c r="AE48" s="87">
        <f t="shared" si="4"/>
        <v>14824.6836</v>
      </c>
      <c r="AF48" s="150">
        <f>IF('Process Data Entry'!M50="","",'Process Data Entry'!M50)</f>
        <v>8.2</v>
      </c>
      <c r="AG48" s="150">
        <f>IF('Process Data Entry'!N50="","",'Process Data Entry'!N50)</f>
        <v>1.2</v>
      </c>
      <c r="AH48" s="81">
        <f t="shared" si="5"/>
        <v>4415.863199999999</v>
      </c>
    </row>
    <row r="49" spans="1:34" ht="15">
      <c r="A49" s="78">
        <v>4</v>
      </c>
      <c r="B49" s="88">
        <f>'Energy Data Entry'!B70</f>
        <v>43556</v>
      </c>
      <c r="C49" s="80">
        <f>IF(OR('Process Data Entry'!C51="",'Process Data Entry'!C51=0),"",'Process Data Entry'!C51)</f>
        <v>1.8</v>
      </c>
      <c r="D49" s="81">
        <f>IF(Table4[[#This Row],[Avg Daily Flow]]="","",_xlfn.DAYS(EOMONTH(B49,0),EOMONTH(B49,-1))*C49)</f>
        <v>54</v>
      </c>
      <c r="E49" s="81">
        <f>IF('Process Data Entry'!F51="","",'Process Data Entry'!F51)</f>
        <v>2074.6584000000003</v>
      </c>
      <c r="F49" s="82">
        <f>IF(Table4[[#This Row],[BOD removed]]="","",Table4[[#This Row],[BOD removed]]*_xlfn.DAYS(EOMONTH(Table4[[#This Row],[Column2]],0),EOMONTH(Table4[[#This Row],[Column2]],-1)))</f>
        <v>62239.75200000001</v>
      </c>
      <c r="G49" s="83">
        <f>IF(SUM('Energy Data Entry'!C70,'Energy Data Entry'!H70,'Energy Data Entry'!M70,'Energy Data Entry'!R70,'Energy Data Entry'!W70)=0,"",SUM('Energy Data Entry'!C70,'Energy Data Entry'!H70,'Energy Data Entry'!M70,'Energy Data Entry'!R70,'Energy Data Entry'!W70))</f>
        <v>151865</v>
      </c>
      <c r="H49" s="83">
        <f>'Energy Data Entry'!AG70</f>
        <v>0</v>
      </c>
      <c r="I49" s="83">
        <f>IF(Table4[[#This Row],[Electric kWh usage]]="","",Table4[[#This Row],[Gas kWh usage]]+Table4[[#This Row],[Electric kWh usage]])</f>
        <v>151865</v>
      </c>
      <c r="J49" s="82">
        <f>IF(OR(Table4[[#This Row],[Electric kWh usage]]="",Table4[[#This Row],[Monthly Flow]]=""),"",(Table4[[#This Row],[Electric kWh usage]]+Table4[[#This Row],[Gas kWh usage]])/Table4[[#This Row],[Monthly Flow]])</f>
        <v>2812.314814814815</v>
      </c>
      <c r="K49" s="84">
        <f>_xlfn.IFERROR(IF(Table4[[#This Row],[Electric kWh usage]]="","",(Table4[[#This Row],[Electric kWh usage]]+Table4[[#This Row],[Gas kWh usage]])/Table4[[#This Row],[Total BOD removed]]),"")</f>
        <v>2.440000082262538</v>
      </c>
      <c r="L49" s="83">
        <f>IF('Energy Data Entry'!E70+'Energy Data Entry'!J70+'Energy Data Entry'!O70+'Energy Data Entry'!T70+'Energy Data Entry'!Y70=0,"",'Energy Data Entry'!E70+'Energy Data Entry'!J70+'Energy Data Entry'!O70+'Energy Data Entry'!T70+'Energy Data Entry'!Y70)</f>
        <v>266</v>
      </c>
      <c r="M49" s="83">
        <f>IF('Energy Data Entry'!F70+'Energy Data Entry'!K70+'Energy Data Entry'!P70++'Energy Data Entry'!U70+'Energy Data Entry'!Z70=0,"",'Energy Data Entry'!F70+'Energy Data Entry'!K70+'Energy Data Entry'!P70++'Energy Data Entry'!U70+'Energy Data Entry'!Z70)</f>
        <v>266</v>
      </c>
      <c r="N49" s="85">
        <f>IF('Energy Data Entry'!G70+'Energy Data Entry'!L70+'Energy Data Entry'!Q70+'Energy Data Entry'!V70+'Energy Data Entry'!AA70=0,"",'Energy Data Entry'!G70+'Energy Data Entry'!L70+'Energy Data Entry'!Q70+'Energy Data Entry'!V70+'Energy Data Entry'!AA70)</f>
        <v>3059</v>
      </c>
      <c r="O49" s="85">
        <f>IF('Energy Data Entry'!D70+'Energy Data Entry'!I70+'Energy Data Entry'!N70+'Energy Data Entry'!S70+'Energy Data Entry'!X70=0,"",'Energy Data Entry'!D70+'Energy Data Entry'!I70+'Energy Data Entry'!N70+'Energy Data Entry'!S70+'Energy Data Entry'!X70)</f>
        <v>12930.225</v>
      </c>
      <c r="P49" s="403">
        <f>'Energy Data Entry'!AF70</f>
        <v>0</v>
      </c>
      <c r="Q49" s="151">
        <f>_xlfn.IFERROR(Table4[[#This Row],[Total electric cost]]/Table4[[#This Row],[Electric kWh usage]],"")</f>
        <v>0.08514289006683567</v>
      </c>
      <c r="R49" s="151">
        <f>_xlfn.IFERROR(Table4[[#This Row],[Electric Demand Cost]]/Table4[[#This Row],[Total Electric Demand (Billed)]],_xlfn.IFERROR(Table4[[#This Row],[Electric Demand Cost]]/Table4[[#This Row],[Total Electric Demand (Actual)]],""))</f>
        <v>11.5</v>
      </c>
      <c r="S49" s="85">
        <f>_xlfn.IFERROR(Table4[[#This Row],[Total Gas cost]]+Table4[[#This Row],[Total electric cost]],"")</f>
        <v>12930.225</v>
      </c>
      <c r="T49" s="111"/>
      <c r="U49" s="85">
        <f>_xlfn.IFERROR(Table4[[#This Row],[Total Energy Cost]]/Table4[[#This Row],[Monthly Flow]],"")</f>
        <v>239.44861111111112</v>
      </c>
      <c r="V49" s="85">
        <f>_xlfn.IFERROR(Table4[[#This Row],[Total Energy Cost]]/Table4[[#This Row],[Total BOD removed]],"")</f>
        <v>0.20774865876714932</v>
      </c>
      <c r="W49" s="116"/>
      <c r="X49" s="86">
        <f>IF('Process Data Entry'!G51="","",'Process Data Entry'!G51)</f>
        <v>38</v>
      </c>
      <c r="Y49" s="86">
        <f>IF('Process Data Entry'!H51="","",'Process Data Entry'!H51)</f>
        <v>14</v>
      </c>
      <c r="Z49" s="86">
        <f>IF('Process Data Entry'!I51="",0,'Process Data Entry'!I51)</f>
        <v>0</v>
      </c>
      <c r="AA49" s="86">
        <f>IF('Process Data Entry'!J51="","",'Process Data Entry'!J51)</f>
        <v>3.2</v>
      </c>
      <c r="AB49" s="86">
        <f>IF('Process Data Entry'!K51="","",'Process Data Entry'!K51)</f>
        <v>1.3</v>
      </c>
      <c r="AC49" s="86">
        <f>IF('Process Data Entry'!L51="","",'Process Data Entry'!L51)</f>
        <v>11.1</v>
      </c>
      <c r="AD49" s="87">
        <f t="shared" si="3"/>
        <v>23.7</v>
      </c>
      <c r="AE49" s="87">
        <f t="shared" si="4"/>
        <v>10673.532</v>
      </c>
      <c r="AF49" s="150">
        <f>IF('Process Data Entry'!M51="","",'Process Data Entry'!M51)</f>
        <v>8.6</v>
      </c>
      <c r="AG49" s="150">
        <f>IF('Process Data Entry'!N51="","",'Process Data Entry'!N51)</f>
        <v>1.4</v>
      </c>
      <c r="AH49" s="81">
        <f t="shared" si="5"/>
        <v>3242.5919999999996</v>
      </c>
    </row>
    <row r="50" spans="1:34" ht="15">
      <c r="A50" s="78">
        <v>4</v>
      </c>
      <c r="B50" s="88">
        <f>'Energy Data Entry'!B71</f>
        <v>43586</v>
      </c>
      <c r="C50" s="80">
        <f>IF(OR('Process Data Entry'!C52="",'Process Data Entry'!C52=0),"",'Process Data Entry'!C52)</f>
        <v>2.34</v>
      </c>
      <c r="D50" s="81">
        <f>IF(Table4[[#This Row],[Avg Daily Flow]]="","",_xlfn.DAYS(EOMONTH(B50,0),EOMONTH(B50,-1))*C50)</f>
        <v>72.53999999999999</v>
      </c>
      <c r="E50" s="81">
        <f>IF('Process Data Entry'!F52="","",'Process Data Entry'!F52)</f>
        <v>3559.64544</v>
      </c>
      <c r="F50" s="82">
        <f>IF(Table4[[#This Row],[BOD removed]]="","",Table4[[#This Row],[BOD removed]]*_xlfn.DAYS(EOMONTH(Table4[[#This Row],[Column2]],0),EOMONTH(Table4[[#This Row],[Column2]],-1)))</f>
        <v>110349.00864</v>
      </c>
      <c r="G50" s="83">
        <f>IF(SUM('Energy Data Entry'!C71,'Energy Data Entry'!H71,'Energy Data Entry'!M71,'Energy Data Entry'!R71,'Energy Data Entry'!W71)=0,"",SUM('Energy Data Entry'!C71,'Energy Data Entry'!H71,'Energy Data Entry'!M71,'Energy Data Entry'!R71,'Energy Data Entry'!W71))</f>
        <v>175135</v>
      </c>
      <c r="H50" s="83">
        <f>'Energy Data Entry'!AG71</f>
        <v>0</v>
      </c>
      <c r="I50" s="83">
        <f>IF(Table4[[#This Row],[Electric kWh usage]]="","",Table4[[#This Row],[Gas kWh usage]]+Table4[[#This Row],[Electric kWh usage]])</f>
        <v>175135</v>
      </c>
      <c r="J50" s="82">
        <f>IF(OR(Table4[[#This Row],[Electric kWh usage]]="",Table4[[#This Row],[Monthly Flow]]=""),"",(Table4[[#This Row],[Electric kWh usage]]+Table4[[#This Row],[Gas kWh usage]])/Table4[[#This Row],[Monthly Flow]])</f>
        <v>2414.323132065068</v>
      </c>
      <c r="K50" s="84">
        <f>_xlfn.IFERROR(IF(Table4[[#This Row],[Electric kWh usage]]="","",(Table4[[#This Row],[Electric kWh usage]]+Table4[[#This Row],[Gas kWh usage]])/Table4[[#This Row],[Total BOD removed]]),"")</f>
        <v>1.5871008009809702</v>
      </c>
      <c r="L50" s="83">
        <f>IF('Energy Data Entry'!E71+'Energy Data Entry'!J71+'Energy Data Entry'!O71+'Energy Data Entry'!T71+'Energy Data Entry'!Y71=0,"",'Energy Data Entry'!E71+'Energy Data Entry'!J71+'Energy Data Entry'!O71+'Energy Data Entry'!T71+'Energy Data Entry'!Y71)</f>
        <v>320</v>
      </c>
      <c r="M50" s="83">
        <f>IF('Energy Data Entry'!F71+'Energy Data Entry'!K71+'Energy Data Entry'!P71++'Energy Data Entry'!U71+'Energy Data Entry'!Z71=0,"",'Energy Data Entry'!F71+'Energy Data Entry'!K71+'Energy Data Entry'!P71++'Energy Data Entry'!U71+'Energy Data Entry'!Z71)</f>
        <v>320</v>
      </c>
      <c r="N50" s="85">
        <f>IF('Energy Data Entry'!G71+'Energy Data Entry'!L71+'Energy Data Entry'!Q71+'Energy Data Entry'!V71+'Energy Data Entry'!AA71=0,"",'Energy Data Entry'!G71+'Energy Data Entry'!L71+'Energy Data Entry'!Q71+'Energy Data Entry'!V71+'Energy Data Entry'!AA71)</f>
        <v>3680</v>
      </c>
      <c r="O50" s="85">
        <f>IF('Energy Data Entry'!D71+'Energy Data Entry'!I71+'Energy Data Entry'!N71+'Energy Data Entry'!S71+'Energy Data Entry'!X71=0,"",'Energy Data Entry'!D71+'Energy Data Entry'!I71+'Energy Data Entry'!N71+'Energy Data Entry'!S71+'Energy Data Entry'!X71)</f>
        <v>15063.775</v>
      </c>
      <c r="P50" s="403">
        <f>'Energy Data Entry'!AF71</f>
        <v>0</v>
      </c>
      <c r="Q50" s="151">
        <f>_xlfn.IFERROR(Table4[[#This Row],[Total electric cost]]/Table4[[#This Row],[Electric kWh usage]],"")</f>
        <v>0.08601236189225454</v>
      </c>
      <c r="R50" s="151">
        <f>_xlfn.IFERROR(Table4[[#This Row],[Electric Demand Cost]]/Table4[[#This Row],[Total Electric Demand (Billed)]],_xlfn.IFERROR(Table4[[#This Row],[Electric Demand Cost]]/Table4[[#This Row],[Total Electric Demand (Actual)]],""))</f>
        <v>11.5</v>
      </c>
      <c r="S50" s="85">
        <f>_xlfn.IFERROR(Table4[[#This Row],[Total Gas cost]]+Table4[[#This Row],[Total electric cost]],"")</f>
        <v>15063.775</v>
      </c>
      <c r="T50" s="111"/>
      <c r="U50" s="85">
        <f>_xlfn.IFERROR(Table4[[#This Row],[Total Energy Cost]]/Table4[[#This Row],[Monthly Flow]],"")</f>
        <v>207.66163496002207</v>
      </c>
      <c r="V50" s="85">
        <f>_xlfn.IFERROR(Table4[[#This Row],[Total Energy Cost]]/Table4[[#This Row],[Total BOD removed]],"")</f>
        <v>0.13651028845346228</v>
      </c>
      <c r="W50" s="116"/>
      <c r="X50" s="86">
        <f>IF('Process Data Entry'!G52="","",'Process Data Entry'!G52)</f>
        <v>35</v>
      </c>
      <c r="Y50" s="86">
        <f>IF('Process Data Entry'!H52="","",'Process Data Entry'!H52)</f>
        <v>17</v>
      </c>
      <c r="Z50" s="86">
        <f>IF('Process Data Entry'!I52="",0,'Process Data Entry'!I52)</f>
        <v>0</v>
      </c>
      <c r="AA50" s="86">
        <f>IF('Process Data Entry'!J52="","",'Process Data Entry'!J52)</f>
        <v>3</v>
      </c>
      <c r="AB50" s="86">
        <f>IF('Process Data Entry'!K52="","",'Process Data Entry'!K52)</f>
        <v>1.3</v>
      </c>
      <c r="AC50" s="86">
        <f>IF('Process Data Entry'!L52="","",'Process Data Entry'!L52)</f>
        <v>11.9</v>
      </c>
      <c r="AD50" s="87">
        <f t="shared" si="3"/>
        <v>20.1</v>
      </c>
      <c r="AE50" s="87">
        <f t="shared" si="4"/>
        <v>12160.170359999998</v>
      </c>
      <c r="AF50" s="150">
        <f>IF('Process Data Entry'!M52="","",'Process Data Entry'!M52)</f>
        <v>7</v>
      </c>
      <c r="AG50" s="150">
        <f>IF('Process Data Entry'!N52="","",'Process Data Entry'!N52)</f>
        <v>0.5</v>
      </c>
      <c r="AH50" s="81">
        <f t="shared" si="5"/>
        <v>3932.3933999999995</v>
      </c>
    </row>
    <row r="51" spans="1:34" s="105" customFormat="1" ht="15" thickBot="1">
      <c r="A51" s="97">
        <v>4</v>
      </c>
      <c r="B51" s="107">
        <f>'Energy Data Entry'!B72</f>
        <v>43617</v>
      </c>
      <c r="C51" s="355">
        <f>IF(OR('Process Data Entry'!C53="",'Process Data Entry'!C53=0),"",'Process Data Entry'!C53)</f>
        <v>1.72</v>
      </c>
      <c r="D51" s="99">
        <f>IF(Table4[[#This Row],[Avg Daily Flow]]="","",_xlfn.DAYS(EOMONTH(B51,0),EOMONTH(B51,-1))*C51)</f>
        <v>51.6</v>
      </c>
      <c r="E51" s="99">
        <f>IF('Process Data Entry'!F53="","",'Process Data Entry'!F53)</f>
        <v>2353.2644399999995</v>
      </c>
      <c r="F51" s="100">
        <f>IF(Table4[[#This Row],[BOD removed]]="","",Table4[[#This Row],[BOD removed]]*_xlfn.DAYS(EOMONTH(Table4[[#This Row],[Column2]],0),EOMONTH(Table4[[#This Row],[Column2]],-1)))</f>
        <v>70597.93319999998</v>
      </c>
      <c r="G51" s="101">
        <f>IF(SUM('Energy Data Entry'!C72,'Energy Data Entry'!H72,'Energy Data Entry'!M72,'Energy Data Entry'!R72,'Energy Data Entry'!W72)=0,"",SUM('Energy Data Entry'!C72,'Energy Data Entry'!H72,'Energy Data Entry'!M72,'Energy Data Entry'!R72,'Energy Data Entry'!W72))</f>
        <v>130335</v>
      </c>
      <c r="H51" s="101">
        <f>'Energy Data Entry'!AG72</f>
        <v>0</v>
      </c>
      <c r="I51" s="101">
        <f>IF(Table4[[#This Row],[Electric kWh usage]]="","",Table4[[#This Row],[Gas kWh usage]]+Table4[[#This Row],[Electric kWh usage]])</f>
        <v>130335</v>
      </c>
      <c r="J51" s="100">
        <f>IF(OR(Table4[[#This Row],[Electric kWh usage]]="",Table4[[#This Row],[Monthly Flow]]=""),"",(Table4[[#This Row],[Electric kWh usage]]+Table4[[#This Row],[Gas kWh usage]])/Table4[[#This Row],[Monthly Flow]])</f>
        <v>2525.8720930232557</v>
      </c>
      <c r="K51" s="102">
        <f>_xlfn.IFERROR(IF(Table4[[#This Row],[Electric kWh usage]]="","",(Table4[[#This Row],[Electric kWh usage]]+Table4[[#This Row],[Gas kWh usage]])/Table4[[#This Row],[Total BOD removed]]),"")</f>
        <v>1.846158861772458</v>
      </c>
      <c r="L51" s="101">
        <f>IF('Energy Data Entry'!E72+'Energy Data Entry'!J72+'Energy Data Entry'!O72+'Energy Data Entry'!T72+'Energy Data Entry'!Y72=0,"",'Energy Data Entry'!E72+'Energy Data Entry'!J72+'Energy Data Entry'!O72+'Energy Data Entry'!T72+'Energy Data Entry'!Y72)</f>
        <v>221</v>
      </c>
      <c r="M51" s="101">
        <f>IF('Energy Data Entry'!F72+'Energy Data Entry'!K72+'Energy Data Entry'!P72++'Energy Data Entry'!U72+'Energy Data Entry'!Z72=0,"",'Energy Data Entry'!F72+'Energy Data Entry'!K72+'Energy Data Entry'!P72++'Energy Data Entry'!U72+'Energy Data Entry'!Z72)</f>
        <v>255</v>
      </c>
      <c r="N51" s="103">
        <f>IF('Energy Data Entry'!G72+'Energy Data Entry'!L72+'Energy Data Entry'!Q72+'Energy Data Entry'!V72+'Energy Data Entry'!AA72=0,"",'Energy Data Entry'!G72+'Energy Data Entry'!L72+'Energy Data Entry'!Q72+'Energy Data Entry'!V72+'Energy Data Entry'!AA72)</f>
        <v>2932.5</v>
      </c>
      <c r="O51" s="103">
        <f>IF('Energy Data Entry'!D72+'Energy Data Entry'!I72+'Energy Data Entry'!N72+'Energy Data Entry'!S72+'Energy Data Entry'!X72=0,"",'Energy Data Entry'!D72+'Energy Data Entry'!I72+'Energy Data Entry'!N72+'Energy Data Entry'!S72+'Energy Data Entry'!X72)</f>
        <v>11404.275</v>
      </c>
      <c r="P51" s="404">
        <f>'Energy Data Entry'!AF72</f>
        <v>0</v>
      </c>
      <c r="Q51" s="152">
        <f>_xlfn.IFERROR(Table4[[#This Row],[Total electric cost]]/Table4[[#This Row],[Electric kWh usage]],"")</f>
        <v>0.08749971227989412</v>
      </c>
      <c r="R51" s="152">
        <f>_xlfn.IFERROR(Table4[[#This Row],[Electric Demand Cost]]/Table4[[#This Row],[Total Electric Demand (Billed)]],_xlfn.IFERROR(Table4[[#This Row],[Electric Demand Cost]]/Table4[[#This Row],[Total Electric Demand (Actual)]],""))</f>
        <v>11.5</v>
      </c>
      <c r="S51" s="103">
        <f>_xlfn.IFERROR(Table4[[#This Row],[Total Gas cost]]+Table4[[#This Row],[Total electric cost]],"")</f>
        <v>11404.275</v>
      </c>
      <c r="T51" s="112"/>
      <c r="U51" s="103">
        <f>_xlfn.IFERROR(Table4[[#This Row],[Total Energy Cost]]/Table4[[#This Row],[Monthly Flow]],"")</f>
        <v>221.01308139534882</v>
      </c>
      <c r="V51" s="103">
        <f>_xlfn.IFERROR(Table4[[#This Row],[Total Energy Cost]]/Table4[[#This Row],[Total BOD removed]],"")</f>
        <v>0.16153836922806689</v>
      </c>
      <c r="W51" s="356"/>
      <c r="X51" s="104">
        <f>IF('Process Data Entry'!G53="","",'Process Data Entry'!G53)</f>
        <v>39</v>
      </c>
      <c r="Y51" s="104">
        <f>IF('Process Data Entry'!H53="","",'Process Data Entry'!H53)</f>
        <v>11</v>
      </c>
      <c r="Z51" s="104">
        <f>IF('Process Data Entry'!I53="",0,'Process Data Entry'!I53)</f>
        <v>0</v>
      </c>
      <c r="AA51" s="104">
        <f>IF('Process Data Entry'!J53="","",'Process Data Entry'!J53)</f>
        <v>3.2</v>
      </c>
      <c r="AB51" s="104">
        <f>IF('Process Data Entry'!K53="","",'Process Data Entry'!K53)</f>
        <v>1.1</v>
      </c>
      <c r="AC51" s="104">
        <f>IF('Process Data Entry'!L53="","",'Process Data Entry'!L53)</f>
        <v>8.6</v>
      </c>
      <c r="AD51" s="357">
        <f t="shared" si="3"/>
        <v>27.2</v>
      </c>
      <c r="AE51" s="357">
        <f t="shared" si="4"/>
        <v>11705.3568</v>
      </c>
      <c r="AF51" s="358">
        <f>IF('Process Data Entry'!M53="","",'Process Data Entry'!M53)</f>
        <v>7.1</v>
      </c>
      <c r="AG51" s="358">
        <f>IF('Process Data Entry'!N53="","",'Process Data Entry'!N53)</f>
        <v>1.2</v>
      </c>
      <c r="AH51" s="99">
        <f t="shared" si="5"/>
        <v>2539.0296</v>
      </c>
    </row>
    <row r="52" spans="1:34" ht="15">
      <c r="A52" s="89">
        <v>5</v>
      </c>
      <c r="B52" s="106">
        <f>'Energy Data Entry'!B73</f>
        <v>43647</v>
      </c>
      <c r="C52" s="359">
        <f>IF(OR('Process Data Entry'!C54="",'Process Data Entry'!C54=0),"",'Process Data Entry'!C54)</f>
        <v>2.36</v>
      </c>
      <c r="D52" s="91">
        <f>IF(Table4[[#This Row],[Avg Daily Flow]]="","",_xlfn.DAYS(EOMONTH(B52,0),EOMONTH(B52,-1))*C52)</f>
        <v>73.16</v>
      </c>
      <c r="E52" s="91">
        <f>IF('Process Data Entry'!F54="","",'Process Data Entry'!F54)</f>
        <v>2645.31456</v>
      </c>
      <c r="F52" s="92">
        <f>IF(Table4[[#This Row],[BOD removed]]="","",Table4[[#This Row],[BOD removed]]*_xlfn.DAYS(EOMONTH(Table4[[#This Row],[Column2]],0),EOMONTH(Table4[[#This Row],[Column2]],-1)))</f>
        <v>82004.75136</v>
      </c>
      <c r="G52" s="93">
        <f>IF(SUM('Energy Data Entry'!C73,'Energy Data Entry'!H73,'Energy Data Entry'!M73,'Energy Data Entry'!R73,'Energy Data Entry'!W73)=0,"",SUM('Energy Data Entry'!C73,'Energy Data Entry'!H73,'Energy Data Entry'!M73,'Energy Data Entry'!R73,'Energy Data Entry'!W73))</f>
        <v>173301</v>
      </c>
      <c r="H52" s="93">
        <f>'Energy Data Entry'!AG73</f>
        <v>0</v>
      </c>
      <c r="I52" s="93">
        <f>IF(Table4[[#This Row],[Electric kWh usage]]="","",Table4[[#This Row],[Gas kWh usage]]+Table4[[#This Row],[Electric kWh usage]])</f>
        <v>173301</v>
      </c>
      <c r="J52" s="92">
        <f>IF(OR(Table4[[#This Row],[Electric kWh usage]]="",Table4[[#This Row],[Monthly Flow]]=""),"",(Table4[[#This Row],[Electric kWh usage]]+Table4[[#This Row],[Gas kWh usage]])/Table4[[#This Row],[Monthly Flow]])</f>
        <v>2368.794423182067</v>
      </c>
      <c r="K52" s="94">
        <f>_xlfn.IFERROR(IF(Table4[[#This Row],[Electric kWh usage]]="","",(Table4[[#This Row],[Electric kWh usage]]+Table4[[#This Row],[Gas kWh usage]])/Table4[[#This Row],[Total BOD removed]]),"")</f>
        <v>2.113304377196517</v>
      </c>
      <c r="L52" s="93">
        <f>IF('Energy Data Entry'!E73+'Energy Data Entry'!J73+'Energy Data Entry'!O73+'Energy Data Entry'!T73+'Energy Data Entry'!Y73=0,"",'Energy Data Entry'!E73+'Energy Data Entry'!J73+'Energy Data Entry'!O73+'Energy Data Entry'!T73+'Energy Data Entry'!Y73)</f>
        <v>297</v>
      </c>
      <c r="M52" s="93">
        <f>IF('Energy Data Entry'!F73+'Energy Data Entry'!K73+'Energy Data Entry'!P73++'Energy Data Entry'!U73+'Energy Data Entry'!Z73=0,"",'Energy Data Entry'!F73+'Energy Data Entry'!K73+'Energy Data Entry'!P73++'Energy Data Entry'!U73+'Energy Data Entry'!Z73)</f>
        <v>297</v>
      </c>
      <c r="N52" s="95">
        <f>IF('Energy Data Entry'!G73+'Energy Data Entry'!L73+'Energy Data Entry'!Q73+'Energy Data Entry'!V73+'Energy Data Entry'!AA73=0,"",'Energy Data Entry'!G73+'Energy Data Entry'!L73+'Energy Data Entry'!Q73+'Energy Data Entry'!V73+'Energy Data Entry'!AA73)</f>
        <v>3415.5</v>
      </c>
      <c r="O52" s="95">
        <f>IF('Energy Data Entry'!D73+'Energy Data Entry'!I73+'Energy Data Entry'!N73+'Energy Data Entry'!S73+'Energy Data Entry'!X73=0,"",'Energy Data Entry'!D73+'Energy Data Entry'!I73+'Energy Data Entry'!N73+'Energy Data Entry'!S73+'Energy Data Entry'!X73)</f>
        <v>14680.065</v>
      </c>
      <c r="P52" s="405">
        <f>'Energy Data Entry'!AF73</f>
        <v>0</v>
      </c>
      <c r="Q52" s="153">
        <f>_xlfn.IFERROR(Table4[[#This Row],[Total electric cost]]/Table4[[#This Row],[Electric kWh usage]],"")</f>
        <v>0.08470848408260773</v>
      </c>
      <c r="R52" s="153">
        <f>_xlfn.IFERROR(Table4[[#This Row],[Electric Demand Cost]]/Table4[[#This Row],[Total Electric Demand (Billed)]],_xlfn.IFERROR(Table4[[#This Row],[Electric Demand Cost]]/Table4[[#This Row],[Total Electric Demand (Actual)]],""))</f>
        <v>11.5</v>
      </c>
      <c r="S52" s="95">
        <f>_xlfn.IFERROR(Table4[[#This Row],[Total Gas cost]]+Table4[[#This Row],[Total electric cost]],"")</f>
        <v>14680.065</v>
      </c>
      <c r="T52" s="113"/>
      <c r="U52" s="95">
        <f>_xlfn.IFERROR(Table4[[#This Row],[Total Energy Cost]]/Table4[[#This Row],[Monthly Flow]],"")</f>
        <v>200.65698469108804</v>
      </c>
      <c r="V52" s="95">
        <f>_xlfn.IFERROR(Table4[[#This Row],[Total Energy Cost]]/Table4[[#This Row],[Total BOD removed]],"")</f>
        <v>0.17901481019745635</v>
      </c>
      <c r="W52" s="116"/>
      <c r="X52" s="96">
        <f>IF('Process Data Entry'!G54="","",'Process Data Entry'!G54)</f>
        <v>40</v>
      </c>
      <c r="Y52" s="96">
        <f>IF('Process Data Entry'!H54="","",'Process Data Entry'!H54)</f>
        <v>14</v>
      </c>
      <c r="Z52" s="96">
        <f>IF('Process Data Entry'!I54="",0,'Process Data Entry'!I54)</f>
        <v>0</v>
      </c>
      <c r="AA52" s="96">
        <f>IF('Process Data Entry'!J54="","",'Process Data Entry'!J54)</f>
        <v>3.2</v>
      </c>
      <c r="AB52" s="96">
        <f>IF('Process Data Entry'!K54="","",'Process Data Entry'!K54)</f>
        <v>0.9</v>
      </c>
      <c r="AC52" s="96">
        <f>IF('Process Data Entry'!L54="","",'Process Data Entry'!L54)</f>
        <v>9.3</v>
      </c>
      <c r="AD52" s="360">
        <f t="shared" si="3"/>
        <v>27.5</v>
      </c>
      <c r="AE52" s="360">
        <f t="shared" si="4"/>
        <v>16779.246</v>
      </c>
      <c r="AF52" s="361">
        <f>IF('Process Data Entry'!M54="","",'Process Data Entry'!M54)</f>
        <v>9.6</v>
      </c>
      <c r="AG52" s="361">
        <f>IF('Process Data Entry'!N54="","",'Process Data Entry'!N54)</f>
        <v>0.8</v>
      </c>
      <c r="AH52" s="91">
        <f t="shared" si="5"/>
        <v>5369.358719999999</v>
      </c>
    </row>
    <row r="53" spans="1:34" ht="15">
      <c r="A53" s="78">
        <v>5</v>
      </c>
      <c r="B53" s="88">
        <f>'Energy Data Entry'!B74</f>
        <v>43678</v>
      </c>
      <c r="C53" s="80">
        <f>IF(OR('Process Data Entry'!C55="",'Process Data Entry'!C55=0),"",'Process Data Entry'!C55)</f>
        <v>1.96</v>
      </c>
      <c r="D53" s="81">
        <f>IF(Table4[[#This Row],[Avg Daily Flow]]="","",_xlfn.DAYS(EOMONTH(B53,0),EOMONTH(B53,-1))*C53)</f>
        <v>60.76</v>
      </c>
      <c r="E53" s="81">
        <f>IF('Process Data Entry'!F55="","",'Process Data Entry'!F55)</f>
        <v>3405.7724399999997</v>
      </c>
      <c r="F53" s="82">
        <f>IF(Table4[[#This Row],[BOD removed]]="","",Table4[[#This Row],[BOD removed]]*_xlfn.DAYS(EOMONTH(Table4[[#This Row],[Column2]],0),EOMONTH(Table4[[#This Row],[Column2]],-1)))</f>
        <v>105578.94563999999</v>
      </c>
      <c r="G53" s="83">
        <f>IF(SUM('Energy Data Entry'!C74,'Energy Data Entry'!H74,'Energy Data Entry'!M74,'Energy Data Entry'!R74,'Energy Data Entry'!W74)=0,"",SUM('Energy Data Entry'!C74,'Energy Data Entry'!H74,'Energy Data Entry'!M74,'Energy Data Entry'!R74,'Energy Data Entry'!W74))</f>
        <v>163674</v>
      </c>
      <c r="H53" s="83">
        <f>'Energy Data Entry'!AG74</f>
        <v>0</v>
      </c>
      <c r="I53" s="83">
        <f>IF(Table4[[#This Row],[Electric kWh usage]]="","",Table4[[#This Row],[Gas kWh usage]]+Table4[[#This Row],[Electric kWh usage]])</f>
        <v>163674</v>
      </c>
      <c r="J53" s="82">
        <f>IF(OR(Table4[[#This Row],[Electric kWh usage]]="",Table4[[#This Row],[Monthly Flow]]=""),"",(Table4[[#This Row],[Electric kWh usage]]+Table4[[#This Row],[Gas kWh usage]])/Table4[[#This Row],[Monthly Flow]])</f>
        <v>2693.778801843318</v>
      </c>
      <c r="K53" s="84">
        <f>_xlfn.IFERROR(IF(Table4[[#This Row],[Electric kWh usage]]="","",(Table4[[#This Row],[Electric kWh usage]]+Table4[[#This Row],[Gas kWh usage]])/Table4[[#This Row],[Total BOD removed]]),"")</f>
        <v>1.5502522686491949</v>
      </c>
      <c r="L53" s="83">
        <f>IF('Energy Data Entry'!E74+'Energy Data Entry'!J74+'Energy Data Entry'!O74+'Energy Data Entry'!T74+'Energy Data Entry'!Y74=0,"",'Energy Data Entry'!E74+'Energy Data Entry'!J74+'Energy Data Entry'!O74+'Energy Data Entry'!T74+'Energy Data Entry'!Y74)</f>
        <v>293</v>
      </c>
      <c r="M53" s="83">
        <f>IF('Energy Data Entry'!F74+'Energy Data Entry'!K74+'Energy Data Entry'!P74++'Energy Data Entry'!U74+'Energy Data Entry'!Z74=0,"",'Energy Data Entry'!F74+'Energy Data Entry'!K74+'Energy Data Entry'!P74++'Energy Data Entry'!U74+'Energy Data Entry'!Z74)</f>
        <v>293</v>
      </c>
      <c r="N53" s="85">
        <f>IF('Energy Data Entry'!G74+'Energy Data Entry'!L74+'Energy Data Entry'!Q74+'Energy Data Entry'!V74+'Energy Data Entry'!AA74=0,"",'Energy Data Entry'!G74+'Energy Data Entry'!L74+'Energy Data Entry'!Q74+'Energy Data Entry'!V74+'Energy Data Entry'!AA74)</f>
        <v>3369.5</v>
      </c>
      <c r="O53" s="85">
        <f>IF('Energy Data Entry'!D74+'Energy Data Entry'!I74+'Energy Data Entry'!N74+'Energy Data Entry'!S74+'Energy Data Entry'!X74=0,"",'Energy Data Entry'!D74+'Energy Data Entry'!I74+'Energy Data Entry'!N74+'Energy Data Entry'!S74+'Energy Data Entry'!X74)</f>
        <v>14008.31</v>
      </c>
      <c r="P53" s="403">
        <f>'Energy Data Entry'!AF74</f>
        <v>0</v>
      </c>
      <c r="Q53" s="151">
        <f>_xlfn.IFERROR(Table4[[#This Row],[Total electric cost]]/Table4[[#This Row],[Electric kWh usage]],"")</f>
        <v>0.08558665395847843</v>
      </c>
      <c r="R53" s="151">
        <f>_xlfn.IFERROR(Table4[[#This Row],[Electric Demand Cost]]/Table4[[#This Row],[Total Electric Demand (Billed)]],_xlfn.IFERROR(Table4[[#This Row],[Electric Demand Cost]]/Table4[[#This Row],[Total Electric Demand (Actual)]],""))</f>
        <v>11.5</v>
      </c>
      <c r="S53" s="85">
        <f>_xlfn.IFERROR(Table4[[#This Row],[Total Gas cost]]+Table4[[#This Row],[Total electric cost]],"")</f>
        <v>14008.31</v>
      </c>
      <c r="T53" s="111"/>
      <c r="U53" s="85">
        <f>_xlfn.IFERROR(Table4[[#This Row],[Total Energy Cost]]/Table4[[#This Row],[Monthly Flow]],"")</f>
        <v>230.5515141540487</v>
      </c>
      <c r="V53" s="85">
        <f>_xlfn.IFERROR(Table4[[#This Row],[Total Energy Cost]]/Table4[[#This Row],[Total BOD removed]],"")</f>
        <v>0.1326809044652248</v>
      </c>
      <c r="W53" s="116"/>
      <c r="X53" s="86">
        <f>IF('Process Data Entry'!G55="","",'Process Data Entry'!G55)</f>
        <v>38</v>
      </c>
      <c r="Y53" s="86">
        <f>IF('Process Data Entry'!H55="","",'Process Data Entry'!H55)</f>
        <v>11</v>
      </c>
      <c r="Z53" s="86">
        <f>IF('Process Data Entry'!I55="",0,'Process Data Entry'!I55)</f>
        <v>0</v>
      </c>
      <c r="AA53" s="86">
        <f>IF('Process Data Entry'!J55="","",'Process Data Entry'!J55)</f>
        <v>2.7</v>
      </c>
      <c r="AB53" s="86">
        <f>IF('Process Data Entry'!K55="","",'Process Data Entry'!K55)</f>
        <v>1.3</v>
      </c>
      <c r="AC53" s="86">
        <f>IF('Process Data Entry'!L55="","",'Process Data Entry'!L55)</f>
        <v>6.6</v>
      </c>
      <c r="AD53" s="87">
        <f t="shared" si="3"/>
        <v>28.7</v>
      </c>
      <c r="AE53" s="87">
        <f t="shared" si="4"/>
        <v>14543.39208</v>
      </c>
      <c r="AF53" s="150">
        <f>IF('Process Data Entry'!M55="","",'Process Data Entry'!M55)</f>
        <v>8.2</v>
      </c>
      <c r="AG53" s="150">
        <f>IF('Process Data Entry'!N55="","",'Process Data Entry'!N55)</f>
        <v>0.7</v>
      </c>
      <c r="AH53" s="81">
        <f t="shared" si="5"/>
        <v>3800.537999999999</v>
      </c>
    </row>
    <row r="54" spans="1:34" ht="15">
      <c r="A54" s="78">
        <v>5</v>
      </c>
      <c r="B54" s="88">
        <f>'Energy Data Entry'!B75</f>
        <v>43709</v>
      </c>
      <c r="C54" s="80">
        <f>IF(OR('Process Data Entry'!C56="",'Process Data Entry'!C56=0),"",'Process Data Entry'!C56)</f>
        <v>1.92</v>
      </c>
      <c r="D54" s="81">
        <f>IF(Table4[[#This Row],[Avg Daily Flow]]="","",_xlfn.DAYS(EOMONTH(B54,0),EOMONTH(B54,-1))*C54)</f>
        <v>57.599999999999994</v>
      </c>
      <c r="E54" s="81">
        <f>IF('Process Data Entry'!F56="","",'Process Data Entry'!F56)</f>
        <v>2417.9328</v>
      </c>
      <c r="F54" s="82">
        <f>IF(Table4[[#This Row],[BOD removed]]="","",Table4[[#This Row],[BOD removed]]*_xlfn.DAYS(EOMONTH(Table4[[#This Row],[Column2]],0),EOMONTH(Table4[[#This Row],[Column2]],-1)))</f>
        <v>72537.984</v>
      </c>
      <c r="G54" s="83">
        <f>IF(SUM('Energy Data Entry'!C75,'Energy Data Entry'!H75,'Energy Data Entry'!M75,'Energy Data Entry'!R75,'Energy Data Entry'!W75)=0,"",SUM('Energy Data Entry'!C75,'Energy Data Entry'!H75,'Energy Data Entry'!M75,'Energy Data Entry'!R75,'Energy Data Entry'!W75))</f>
        <v>123151</v>
      </c>
      <c r="H54" s="83">
        <f>'Energy Data Entry'!AG75</f>
        <v>0</v>
      </c>
      <c r="I54" s="83">
        <f>IF(Table4[[#This Row],[Electric kWh usage]]="","",Table4[[#This Row],[Gas kWh usage]]+Table4[[#This Row],[Electric kWh usage]])</f>
        <v>123151</v>
      </c>
      <c r="J54" s="82">
        <f>IF(OR(Table4[[#This Row],[Electric kWh usage]]="",Table4[[#This Row],[Monthly Flow]]=""),"",(Table4[[#This Row],[Electric kWh usage]]+Table4[[#This Row],[Gas kWh usage]])/Table4[[#This Row],[Monthly Flow]])</f>
        <v>2138.038194444445</v>
      </c>
      <c r="K54" s="84">
        <f>_xlfn.IFERROR(IF(Table4[[#This Row],[Electric kWh usage]]="","",(Table4[[#This Row],[Electric kWh usage]]+Table4[[#This Row],[Gas kWh usage]])/Table4[[#This Row],[Total BOD removed]]),"")</f>
        <v>1.697745004879099</v>
      </c>
      <c r="L54" s="83">
        <f>IF('Energy Data Entry'!E75+'Energy Data Entry'!J75+'Energy Data Entry'!O75+'Energy Data Entry'!T75+'Energy Data Entry'!Y75=0,"",'Energy Data Entry'!E75+'Energy Data Entry'!J75+'Energy Data Entry'!O75+'Energy Data Entry'!T75+'Energy Data Entry'!Y75)</f>
        <v>213</v>
      </c>
      <c r="M54" s="83">
        <f>IF('Energy Data Entry'!F75+'Energy Data Entry'!K75+'Energy Data Entry'!P75++'Energy Data Entry'!U75+'Energy Data Entry'!Z75=0,"",'Energy Data Entry'!F75+'Energy Data Entry'!K75+'Energy Data Entry'!P75++'Energy Data Entry'!U75+'Energy Data Entry'!Z75)</f>
        <v>255</v>
      </c>
      <c r="N54" s="85">
        <f>IF('Energy Data Entry'!G75+'Energy Data Entry'!L75+'Energy Data Entry'!Q75+'Energy Data Entry'!V75+'Energy Data Entry'!AA75=0,"",'Energy Data Entry'!G75+'Energy Data Entry'!L75+'Energy Data Entry'!Q75+'Energy Data Entry'!V75+'Energy Data Entry'!AA75)</f>
        <v>2932.5</v>
      </c>
      <c r="O54" s="85">
        <f>IF('Energy Data Entry'!D75+'Energy Data Entry'!I75+'Energy Data Entry'!N75+'Energy Data Entry'!S75+'Energy Data Entry'!X75=0,"",'Energy Data Entry'!D75+'Energy Data Entry'!I75+'Energy Data Entry'!N75+'Energy Data Entry'!S75+'Energy Data Entry'!X75)</f>
        <v>10937.315</v>
      </c>
      <c r="P54" s="403">
        <f>'Energy Data Entry'!AF75</f>
        <v>0</v>
      </c>
      <c r="Q54" s="151">
        <f>_xlfn.IFERROR(Table4[[#This Row],[Total electric cost]]/Table4[[#This Row],[Electric kWh usage]],"")</f>
        <v>0.08881223051375954</v>
      </c>
      <c r="R54" s="151">
        <f>_xlfn.IFERROR(Table4[[#This Row],[Electric Demand Cost]]/Table4[[#This Row],[Total Electric Demand (Billed)]],_xlfn.IFERROR(Table4[[#This Row],[Electric Demand Cost]]/Table4[[#This Row],[Total Electric Demand (Actual)]],""))</f>
        <v>11.5</v>
      </c>
      <c r="S54" s="85">
        <f>_xlfn.IFERROR(Table4[[#This Row],[Total Gas cost]]+Table4[[#This Row],[Total electric cost]],"")</f>
        <v>10937.315</v>
      </c>
      <c r="T54" s="111"/>
      <c r="U54" s="85">
        <f>_xlfn.IFERROR(Table4[[#This Row],[Total Energy Cost]]/Table4[[#This Row],[Monthly Flow]],"")</f>
        <v>189.88394097222226</v>
      </c>
      <c r="V54" s="85">
        <f>_xlfn.IFERROR(Table4[[#This Row],[Total Energy Cost]]/Table4[[#This Row],[Total BOD removed]],"")</f>
        <v>0.15078052072690634</v>
      </c>
      <c r="W54" s="116"/>
      <c r="X54" s="86">
        <f>IF('Process Data Entry'!G56="","",'Process Data Entry'!G56)</f>
        <v>30</v>
      </c>
      <c r="Y54" s="86">
        <f>IF('Process Data Entry'!H56="","",'Process Data Entry'!H56)</f>
        <v>15</v>
      </c>
      <c r="Z54" s="86">
        <f>IF('Process Data Entry'!I56="",0,'Process Data Entry'!I56)</f>
        <v>0</v>
      </c>
      <c r="AA54" s="86">
        <f>IF('Process Data Entry'!J56="","",'Process Data Entry'!J56)</f>
        <v>2.9</v>
      </c>
      <c r="AB54" s="86">
        <f>IF('Process Data Entry'!K56="","",'Process Data Entry'!K56)</f>
        <v>1.2</v>
      </c>
      <c r="AC54" s="86">
        <f>IF('Process Data Entry'!L56="","",'Process Data Entry'!L56)</f>
        <v>7.6</v>
      </c>
      <c r="AD54" s="87">
        <f t="shared" si="3"/>
        <v>19.5</v>
      </c>
      <c r="AE54" s="87">
        <f t="shared" si="4"/>
        <v>9367.487999999998</v>
      </c>
      <c r="AF54" s="150">
        <f>IF('Process Data Entry'!M56="","",'Process Data Entry'!M56)</f>
        <v>8.6</v>
      </c>
      <c r="AG54" s="150">
        <f>IF('Process Data Entry'!N56="","",'Process Data Entry'!N56)</f>
        <v>0.6</v>
      </c>
      <c r="AH54" s="81">
        <f t="shared" si="5"/>
        <v>3843.0719999999997</v>
      </c>
    </row>
    <row r="55" spans="1:34" ht="15">
      <c r="A55" s="78">
        <v>5</v>
      </c>
      <c r="B55" s="88">
        <f>'Energy Data Entry'!B76</f>
        <v>43739</v>
      </c>
      <c r="C55" s="80">
        <f>IF(OR('Process Data Entry'!C57="",'Process Data Entry'!C57=0),"",'Process Data Entry'!C57)</f>
        <v>1.96</v>
      </c>
      <c r="D55" s="81">
        <f>IF(Table4[[#This Row],[Avg Daily Flow]]="","",_xlfn.DAYS(EOMONTH(B55,0),EOMONTH(B55,-1))*C55)</f>
        <v>60.76</v>
      </c>
      <c r="E55" s="81">
        <f>IF('Process Data Entry'!F57="","",'Process Data Entry'!F57)</f>
        <v>3386.1567599999994</v>
      </c>
      <c r="F55" s="82">
        <f>IF(Table4[[#This Row],[BOD removed]]="","",Table4[[#This Row],[BOD removed]]*_xlfn.DAYS(EOMONTH(Table4[[#This Row],[Column2]],0),EOMONTH(Table4[[#This Row],[Column2]],-1)))</f>
        <v>104970.85955999998</v>
      </c>
      <c r="G55" s="83">
        <f>IF(SUM('Energy Data Entry'!C76,'Energy Data Entry'!H76,'Energy Data Entry'!M76,'Energy Data Entry'!R76,'Energy Data Entry'!W76)=0,"",SUM('Energy Data Entry'!C76,'Energy Data Entry'!H76,'Energy Data Entry'!M76,'Energy Data Entry'!R76,'Energy Data Entry'!W76))</f>
        <v>127492</v>
      </c>
      <c r="H55" s="83">
        <f>'Energy Data Entry'!AG76</f>
        <v>0</v>
      </c>
      <c r="I55" s="83">
        <f>IF(Table4[[#This Row],[Electric kWh usage]]="","",Table4[[#This Row],[Gas kWh usage]]+Table4[[#This Row],[Electric kWh usage]])</f>
        <v>127492</v>
      </c>
      <c r="J55" s="82">
        <f>IF(OR(Table4[[#This Row],[Electric kWh usage]]="",Table4[[#This Row],[Monthly Flow]]=""),"",(Table4[[#This Row],[Electric kWh usage]]+Table4[[#This Row],[Gas kWh usage]])/Table4[[#This Row],[Monthly Flow]])</f>
        <v>2098.2883475971034</v>
      </c>
      <c r="K55" s="84">
        <f>_xlfn.IFERROR(IF(Table4[[#This Row],[Electric kWh usage]]="","",(Table4[[#This Row],[Electric kWh usage]]+Table4[[#This Row],[Gas kWh usage]])/Table4[[#This Row],[Total BOD removed]]),"")</f>
        <v>1.2145465944968015</v>
      </c>
      <c r="L55" s="83">
        <f>IF('Energy Data Entry'!E76+'Energy Data Entry'!J76+'Energy Data Entry'!O76+'Energy Data Entry'!T76+'Energy Data Entry'!Y76=0,"",'Energy Data Entry'!E76+'Energy Data Entry'!J76+'Energy Data Entry'!O76+'Energy Data Entry'!T76+'Energy Data Entry'!Y76)</f>
        <v>226</v>
      </c>
      <c r="M55" s="83">
        <f>IF('Energy Data Entry'!F76+'Energy Data Entry'!K76+'Energy Data Entry'!P76++'Energy Data Entry'!U76+'Energy Data Entry'!Z76=0,"",'Energy Data Entry'!F76+'Energy Data Entry'!K76+'Energy Data Entry'!P76++'Energy Data Entry'!U76+'Energy Data Entry'!Z76)</f>
        <v>255</v>
      </c>
      <c r="N55" s="85">
        <f>IF('Energy Data Entry'!G76+'Energy Data Entry'!L76+'Energy Data Entry'!Q76+'Energy Data Entry'!V76+'Energy Data Entry'!AA76=0,"",'Energy Data Entry'!G76+'Energy Data Entry'!L76+'Energy Data Entry'!Q76+'Energy Data Entry'!V76+'Energy Data Entry'!AA76)</f>
        <v>2932.5</v>
      </c>
      <c r="O55" s="85">
        <f>IF('Energy Data Entry'!D76+'Energy Data Entry'!I76+'Energy Data Entry'!N76+'Energy Data Entry'!S76+'Energy Data Entry'!X76=0,"",'Energy Data Entry'!D76+'Energy Data Entry'!I76+'Energy Data Entry'!N76+'Energy Data Entry'!S76+'Energy Data Entry'!X76)</f>
        <v>11219.48</v>
      </c>
      <c r="P55" s="403">
        <f>'Energy Data Entry'!AF76</f>
        <v>0</v>
      </c>
      <c r="Q55" s="151">
        <f>_xlfn.IFERROR(Table4[[#This Row],[Total electric cost]]/Table4[[#This Row],[Electric kWh usage]],"")</f>
        <v>0.08800144322781037</v>
      </c>
      <c r="R55" s="151">
        <f>_xlfn.IFERROR(Table4[[#This Row],[Electric Demand Cost]]/Table4[[#This Row],[Total Electric Demand (Billed)]],_xlfn.IFERROR(Table4[[#This Row],[Electric Demand Cost]]/Table4[[#This Row],[Total Electric Demand (Actual)]],""))</f>
        <v>11.5</v>
      </c>
      <c r="S55" s="85">
        <f>_xlfn.IFERROR(Table4[[#This Row],[Total Gas cost]]+Table4[[#This Row],[Total electric cost]],"")</f>
        <v>11219.48</v>
      </c>
      <c r="T55" s="111"/>
      <c r="U55" s="85">
        <f>_xlfn.IFERROR(Table4[[#This Row],[Total Energy Cost]]/Table4[[#This Row],[Monthly Flow]],"")</f>
        <v>184.6524028966425</v>
      </c>
      <c r="V55" s="85">
        <f>_xlfn.IFERROR(Table4[[#This Row],[Total Energy Cost]]/Table4[[#This Row],[Total BOD removed]],"")</f>
        <v>0.1068818531831407</v>
      </c>
      <c r="W55" s="116"/>
      <c r="X55" s="86">
        <f>IF('Process Data Entry'!G57="","",'Process Data Entry'!G57)</f>
        <v>37</v>
      </c>
      <c r="Y55" s="86">
        <f>IF('Process Data Entry'!H57="","",'Process Data Entry'!H57)</f>
        <v>13</v>
      </c>
      <c r="Z55" s="86">
        <f>IF('Process Data Entry'!I57="",0,'Process Data Entry'!I57)</f>
        <v>0</v>
      </c>
      <c r="AA55" s="86">
        <f>IF('Process Data Entry'!J57="","",'Process Data Entry'!J57)</f>
        <v>3.2</v>
      </c>
      <c r="AB55" s="86">
        <f>IF('Process Data Entry'!K57="","",'Process Data Entry'!K57)</f>
        <v>1.1</v>
      </c>
      <c r="AC55" s="86">
        <f>IF('Process Data Entry'!L57="","",'Process Data Entry'!L57)</f>
        <v>7.8</v>
      </c>
      <c r="AD55" s="87">
        <f t="shared" si="3"/>
        <v>26</v>
      </c>
      <c r="AE55" s="87">
        <f t="shared" si="4"/>
        <v>13175.1984</v>
      </c>
      <c r="AF55" s="150">
        <f>IF('Process Data Entry'!M57="","",'Process Data Entry'!M57)</f>
        <v>7</v>
      </c>
      <c r="AG55" s="150">
        <f>IF('Process Data Entry'!N57="","",'Process Data Entry'!N57)</f>
        <v>1.4</v>
      </c>
      <c r="AH55" s="81">
        <f t="shared" si="5"/>
        <v>2837.7350399999996</v>
      </c>
    </row>
    <row r="56" spans="1:34" ht="15">
      <c r="A56" s="78">
        <v>5</v>
      </c>
      <c r="B56" s="88">
        <f>'Energy Data Entry'!B77</f>
        <v>43770</v>
      </c>
      <c r="C56" s="80">
        <f>IF(OR('Process Data Entry'!C58="",'Process Data Entry'!C58=0),"",'Process Data Entry'!C58)</f>
        <v>2.26</v>
      </c>
      <c r="D56" s="81">
        <f>IF(Table4[[#This Row],[Avg Daily Flow]]="","",_xlfn.DAYS(EOMONTH(B56,0),EOMONTH(B56,-1))*C56)</f>
        <v>67.8</v>
      </c>
      <c r="E56" s="81">
        <f>IF('Process Data Entry'!F58="","",'Process Data Entry'!F58)</f>
        <v>3728.21352</v>
      </c>
      <c r="F56" s="82">
        <f>IF(Table4[[#This Row],[BOD removed]]="","",Table4[[#This Row],[BOD removed]]*_xlfn.DAYS(EOMONTH(Table4[[#This Row],[Column2]],0),EOMONTH(Table4[[#This Row],[Column2]],-1)))</f>
        <v>111846.4056</v>
      </c>
      <c r="G56" s="83">
        <f>IF(SUM('Energy Data Entry'!C77,'Energy Data Entry'!H77,'Energy Data Entry'!M77,'Energy Data Entry'!R77,'Energy Data Entry'!W77)=0,"",SUM('Energy Data Entry'!C77,'Energy Data Entry'!H77,'Energy Data Entry'!M77,'Energy Data Entry'!R77,'Energy Data Entry'!W77))</f>
        <v>145542</v>
      </c>
      <c r="H56" s="83">
        <f>'Energy Data Entry'!AG77</f>
        <v>0</v>
      </c>
      <c r="I56" s="83">
        <f>IF(Table4[[#This Row],[Electric kWh usage]]="","",Table4[[#This Row],[Gas kWh usage]]+Table4[[#This Row],[Electric kWh usage]])</f>
        <v>145542</v>
      </c>
      <c r="J56" s="82">
        <f>IF(OR(Table4[[#This Row],[Electric kWh usage]]="",Table4[[#This Row],[Monthly Flow]]=""),"",(Table4[[#This Row],[Electric kWh usage]]+Table4[[#This Row],[Gas kWh usage]])/Table4[[#This Row],[Monthly Flow]])</f>
        <v>2146.637168141593</v>
      </c>
      <c r="K56" s="84">
        <f>_xlfn.IFERROR(IF(Table4[[#This Row],[Electric kWh usage]]="","",(Table4[[#This Row],[Electric kWh usage]]+Table4[[#This Row],[Gas kWh usage]])/Table4[[#This Row],[Total BOD removed]]),"")</f>
        <v>1.301266672086957</v>
      </c>
      <c r="L56" s="83">
        <f>IF('Energy Data Entry'!E77+'Energy Data Entry'!J77+'Energy Data Entry'!O77+'Energy Data Entry'!T77+'Energy Data Entry'!Y77=0,"",'Energy Data Entry'!E77+'Energy Data Entry'!J77+'Energy Data Entry'!O77+'Energy Data Entry'!T77+'Energy Data Entry'!Y77)</f>
        <v>247</v>
      </c>
      <c r="M56" s="83">
        <f>IF('Energy Data Entry'!F77+'Energy Data Entry'!K77+'Energy Data Entry'!P77++'Energy Data Entry'!U77+'Energy Data Entry'!Z77=0,"",'Energy Data Entry'!F77+'Energy Data Entry'!K77+'Energy Data Entry'!P77++'Energy Data Entry'!U77+'Energy Data Entry'!Z77)</f>
        <v>255</v>
      </c>
      <c r="N56" s="85">
        <f>IF('Energy Data Entry'!G77+'Energy Data Entry'!L77+'Energy Data Entry'!Q77+'Energy Data Entry'!V77+'Energy Data Entry'!AA77=0,"",'Energy Data Entry'!G77+'Energy Data Entry'!L77+'Energy Data Entry'!Q77+'Energy Data Entry'!V77+'Energy Data Entry'!AA77)</f>
        <v>2932.5</v>
      </c>
      <c r="O56" s="85">
        <f>IF('Energy Data Entry'!D77+'Energy Data Entry'!I77+'Energy Data Entry'!N77+'Energy Data Entry'!S77+'Energy Data Entry'!X77=0,"",'Energy Data Entry'!D77+'Energy Data Entry'!I77+'Energy Data Entry'!N77+'Energy Data Entry'!S77+'Energy Data Entry'!X77)</f>
        <v>12392.73</v>
      </c>
      <c r="P56" s="403">
        <f>'Energy Data Entry'!AF77</f>
        <v>0</v>
      </c>
      <c r="Q56" s="151">
        <f>_xlfn.IFERROR(Table4[[#This Row],[Total electric cost]]/Table4[[#This Row],[Electric kWh usage]],"")</f>
        <v>0.08514882302015912</v>
      </c>
      <c r="R56" s="151">
        <f>_xlfn.IFERROR(Table4[[#This Row],[Electric Demand Cost]]/Table4[[#This Row],[Total Electric Demand (Billed)]],_xlfn.IFERROR(Table4[[#This Row],[Electric Demand Cost]]/Table4[[#This Row],[Total Electric Demand (Actual)]],""))</f>
        <v>11.5</v>
      </c>
      <c r="S56" s="85">
        <f>_xlfn.IFERROR(Table4[[#This Row],[Total Gas cost]]+Table4[[#This Row],[Total electric cost]],"")</f>
        <v>12392.73</v>
      </c>
      <c r="T56" s="111"/>
      <c r="U56" s="85">
        <f>_xlfn.IFERROR(Table4[[#This Row],[Total Energy Cost]]/Table4[[#This Row],[Monthly Flow]],"")</f>
        <v>182.78362831858408</v>
      </c>
      <c r="V56" s="85">
        <f>_xlfn.IFERROR(Table4[[#This Row],[Total Energy Cost]]/Table4[[#This Row],[Total BOD removed]],"")</f>
        <v>0.11080132556356374</v>
      </c>
      <c r="W56" s="116"/>
      <c r="X56" s="86">
        <f>IF('Process Data Entry'!G58="","",'Process Data Entry'!G58)</f>
        <v>34</v>
      </c>
      <c r="Y56" s="86">
        <f>IF('Process Data Entry'!H58="","",'Process Data Entry'!H58)</f>
        <v>17</v>
      </c>
      <c r="Z56" s="86">
        <f>IF('Process Data Entry'!I58="",0,'Process Data Entry'!I58)</f>
        <v>0</v>
      </c>
      <c r="AA56" s="86">
        <f>IF('Process Data Entry'!J58="","",'Process Data Entry'!J58)</f>
        <v>3.2</v>
      </c>
      <c r="AB56" s="86">
        <f>IF('Process Data Entry'!K58="","",'Process Data Entry'!K58)</f>
        <v>0.8</v>
      </c>
      <c r="AC56" s="86">
        <f>IF('Process Data Entry'!L58="","",'Process Data Entry'!L58)</f>
        <v>7</v>
      </c>
      <c r="AD56" s="87">
        <f t="shared" si="3"/>
        <v>23.8</v>
      </c>
      <c r="AE56" s="87">
        <f t="shared" si="4"/>
        <v>13457.757599999999</v>
      </c>
      <c r="AF56" s="150">
        <f>IF('Process Data Entry'!M58="","",'Process Data Entry'!M58)</f>
        <v>7.4</v>
      </c>
      <c r="AG56" s="150">
        <f>IF('Process Data Entry'!N58="","",'Process Data Entry'!N58)</f>
        <v>1.4</v>
      </c>
      <c r="AH56" s="81">
        <f t="shared" si="5"/>
        <v>3392.712</v>
      </c>
    </row>
    <row r="57" spans="1:34" ht="15">
      <c r="A57" s="78">
        <v>5</v>
      </c>
      <c r="B57" s="88">
        <f>'Energy Data Entry'!B78</f>
        <v>43800</v>
      </c>
      <c r="C57" s="80">
        <f>IF(OR('Process Data Entry'!C59="",'Process Data Entry'!C59=0),"",'Process Data Entry'!C59)</f>
        <v>1.78</v>
      </c>
      <c r="D57" s="81">
        <f>IF(Table4[[#This Row],[Avg Daily Flow]]="","",_xlfn.DAYS(EOMONTH(B57,0),EOMONTH(B57,-1))*C57)</f>
        <v>55.18</v>
      </c>
      <c r="E57" s="81">
        <f>IF('Process Data Entry'!F59="","",'Process Data Entry'!F59)</f>
        <v>2191.15152</v>
      </c>
      <c r="F57" s="82">
        <f>IF(Table4[[#This Row],[BOD removed]]="","",Table4[[#This Row],[BOD removed]]*_xlfn.DAYS(EOMONTH(Table4[[#This Row],[Column2]],0),EOMONTH(Table4[[#This Row],[Column2]],-1)))</f>
        <v>67925.69712</v>
      </c>
      <c r="G57" s="83">
        <f>IF(SUM('Energy Data Entry'!C78,'Energy Data Entry'!H78,'Energy Data Entry'!M78,'Energy Data Entry'!R78,'Energy Data Entry'!W78)=0,"",SUM('Energy Data Entry'!C78,'Energy Data Entry'!H78,'Energy Data Entry'!M78,'Energy Data Entry'!R78,'Energy Data Entry'!W78))</f>
        <v>163408</v>
      </c>
      <c r="H57" s="83">
        <f>'Energy Data Entry'!AG78</f>
        <v>0</v>
      </c>
      <c r="I57" s="83">
        <f>IF(Table4[[#This Row],[Electric kWh usage]]="","",Table4[[#This Row],[Gas kWh usage]]+Table4[[#This Row],[Electric kWh usage]])</f>
        <v>163408</v>
      </c>
      <c r="J57" s="82">
        <f>IF(OR(Table4[[#This Row],[Electric kWh usage]]="",Table4[[#This Row],[Monthly Flow]]=""),"",(Table4[[#This Row],[Electric kWh usage]]+Table4[[#This Row],[Gas kWh usage]])/Table4[[#This Row],[Monthly Flow]])</f>
        <v>2961.3628126132658</v>
      </c>
      <c r="K57" s="84">
        <f>_xlfn.IFERROR(IF(Table4[[#This Row],[Electric kWh usage]]="","",(Table4[[#This Row],[Electric kWh usage]]+Table4[[#This Row],[Gas kWh usage]])/Table4[[#This Row],[Total BOD removed]]),"")</f>
        <v>2.405687492780788</v>
      </c>
      <c r="L57" s="83">
        <f>IF('Energy Data Entry'!E78+'Energy Data Entry'!J78+'Energy Data Entry'!O78+'Energy Data Entry'!T78+'Energy Data Entry'!Y78=0,"",'Energy Data Entry'!E78+'Energy Data Entry'!J78+'Energy Data Entry'!O78+'Energy Data Entry'!T78+'Energy Data Entry'!Y78)</f>
        <v>283</v>
      </c>
      <c r="M57" s="83">
        <f>IF('Energy Data Entry'!F78+'Energy Data Entry'!K78+'Energy Data Entry'!P78++'Energy Data Entry'!U78+'Energy Data Entry'!Z78=0,"",'Energy Data Entry'!F78+'Energy Data Entry'!K78+'Energy Data Entry'!P78++'Energy Data Entry'!U78+'Energy Data Entry'!Z78)</f>
        <v>283</v>
      </c>
      <c r="N57" s="85">
        <f>IF('Energy Data Entry'!G78+'Energy Data Entry'!L78+'Energy Data Entry'!Q78+'Energy Data Entry'!V78+'Energy Data Entry'!AA78=0,"",'Energy Data Entry'!G78+'Energy Data Entry'!L78+'Energy Data Entry'!Q78+'Energy Data Entry'!V78+'Energy Data Entry'!AA78)</f>
        <v>3396</v>
      </c>
      <c r="O57" s="85">
        <f>IF('Energy Data Entry'!D78+'Energy Data Entry'!I78+'Energy Data Entry'!N78+'Energy Data Entry'!S78+'Energy Data Entry'!X78=0,"",'Energy Data Entry'!D78+'Energy Data Entry'!I78+'Energy Data Entry'!N78+'Energy Data Entry'!S78+'Energy Data Entry'!X78)</f>
        <v>14017.52</v>
      </c>
      <c r="P57" s="403">
        <f>'Energy Data Entry'!AF78</f>
        <v>0</v>
      </c>
      <c r="Q57" s="151">
        <f>_xlfn.IFERROR(Table4[[#This Row],[Total electric cost]]/Table4[[#This Row],[Electric kWh usage]],"")</f>
        <v>0.08578233623812788</v>
      </c>
      <c r="R57" s="151">
        <f>_xlfn.IFERROR(Table4[[#This Row],[Electric Demand Cost]]/Table4[[#This Row],[Total Electric Demand (Billed)]],_xlfn.IFERROR(Table4[[#This Row],[Electric Demand Cost]]/Table4[[#This Row],[Total Electric Demand (Actual)]],""))</f>
        <v>12</v>
      </c>
      <c r="S57" s="85">
        <f>_xlfn.IFERROR(Table4[[#This Row],[Total Gas cost]]+Table4[[#This Row],[Total electric cost]],"")</f>
        <v>14017.52</v>
      </c>
      <c r="T57" s="111"/>
      <c r="U57" s="85">
        <f>_xlfn.IFERROR(Table4[[#This Row],[Total Energy Cost]]/Table4[[#This Row],[Monthly Flow]],"")</f>
        <v>254.03262051467925</v>
      </c>
      <c r="V57" s="85">
        <f>_xlfn.IFERROR(Table4[[#This Row],[Total Energy Cost]]/Table4[[#This Row],[Total BOD removed]],"")</f>
        <v>0.2063654933895804</v>
      </c>
      <c r="W57" s="116"/>
      <c r="X57" s="86">
        <f>IF('Process Data Entry'!G59="","",'Process Data Entry'!G59)</f>
        <v>33</v>
      </c>
      <c r="Y57" s="86">
        <f>IF('Process Data Entry'!H59="","",'Process Data Entry'!H59)</f>
        <v>16</v>
      </c>
      <c r="Z57" s="86">
        <f>IF('Process Data Entry'!I59="",0,'Process Data Entry'!I59)</f>
        <v>0</v>
      </c>
      <c r="AA57" s="86">
        <f>IF('Process Data Entry'!J59="","",'Process Data Entry'!J59)</f>
        <v>3.2</v>
      </c>
      <c r="AB57" s="86">
        <f>IF('Process Data Entry'!K59="","",'Process Data Entry'!K59)</f>
        <v>1.6</v>
      </c>
      <c r="AC57" s="86">
        <f>IF('Process Data Entry'!L59="","",'Process Data Entry'!L59)</f>
        <v>8.6</v>
      </c>
      <c r="AD57" s="87">
        <f t="shared" si="3"/>
        <v>21.2</v>
      </c>
      <c r="AE57" s="87">
        <f t="shared" si="4"/>
        <v>9756.26544</v>
      </c>
      <c r="AF57" s="150">
        <f>IF('Process Data Entry'!M59="","",'Process Data Entry'!M59)</f>
        <v>7.5</v>
      </c>
      <c r="AG57" s="150">
        <f>IF('Process Data Entry'!N59="","",'Process Data Entry'!N59)</f>
        <v>1.2</v>
      </c>
      <c r="AH57" s="81">
        <f t="shared" si="5"/>
        <v>2899.26756</v>
      </c>
    </row>
    <row r="58" spans="1:34" ht="15">
      <c r="A58" s="78">
        <v>5</v>
      </c>
      <c r="B58" s="88">
        <f>'Energy Data Entry'!B79</f>
        <v>43831</v>
      </c>
      <c r="C58" s="80">
        <f>IF(OR('Process Data Entry'!C60="",'Process Data Entry'!C60=0),"",'Process Data Entry'!C60)</f>
        <v>2.34</v>
      </c>
      <c r="D58" s="81">
        <f>IF(Table4[[#This Row],[Avg Daily Flow]]="","",_xlfn.DAYS(EOMONTH(B58,0),EOMONTH(B58,-1))*C58)</f>
        <v>72.53999999999999</v>
      </c>
      <c r="E58" s="81">
        <f>IF('Process Data Entry'!F60="","",'Process Data Entry'!F60)</f>
        <v>3438.6487199999997</v>
      </c>
      <c r="F58" s="82">
        <f>IF(Table4[[#This Row],[BOD removed]]="","",Table4[[#This Row],[BOD removed]]*_xlfn.DAYS(EOMONTH(Table4[[#This Row],[Column2]],0),EOMONTH(Table4[[#This Row],[Column2]],-1)))</f>
        <v>106598.11031999999</v>
      </c>
      <c r="G58" s="83">
        <f>IF(SUM('Energy Data Entry'!C79,'Energy Data Entry'!H79,'Energy Data Entry'!M79,'Energy Data Entry'!R79,'Energy Data Entry'!W79)=0,"",SUM('Energy Data Entry'!C79,'Energy Data Entry'!H79,'Energy Data Entry'!M79,'Energy Data Entry'!R79,'Energy Data Entry'!W79))</f>
        <v>148401</v>
      </c>
      <c r="H58" s="83">
        <f>'Energy Data Entry'!AG79</f>
        <v>0</v>
      </c>
      <c r="I58" s="83">
        <f>IF(Table4[[#This Row],[Electric kWh usage]]="","",Table4[[#This Row],[Gas kWh usage]]+Table4[[#This Row],[Electric kWh usage]])</f>
        <v>148401</v>
      </c>
      <c r="J58" s="82">
        <f>IF(OR(Table4[[#This Row],[Electric kWh usage]]="",Table4[[#This Row],[Monthly Flow]]=""),"",(Table4[[#This Row],[Electric kWh usage]]+Table4[[#This Row],[Gas kWh usage]])/Table4[[#This Row],[Monthly Flow]])</f>
        <v>2045.7816377171218</v>
      </c>
      <c r="K58" s="84">
        <f>_xlfn.IFERROR(IF(Table4[[#This Row],[Electric kWh usage]]="","",(Table4[[#This Row],[Electric kWh usage]]+Table4[[#This Row],[Gas kWh usage]])/Table4[[#This Row],[Total BOD removed]]),"")</f>
        <v>1.3921541343885993</v>
      </c>
      <c r="L58" s="83">
        <f>IF('Energy Data Entry'!E79+'Energy Data Entry'!J79+'Energy Data Entry'!O79+'Energy Data Entry'!T79+'Energy Data Entry'!Y79=0,"",'Energy Data Entry'!E79+'Energy Data Entry'!J79+'Energy Data Entry'!O79+'Energy Data Entry'!T79+'Energy Data Entry'!Y79)</f>
        <v>254</v>
      </c>
      <c r="M58" s="83">
        <f>IF('Energy Data Entry'!F79+'Energy Data Entry'!K79+'Energy Data Entry'!P79++'Energy Data Entry'!U79+'Energy Data Entry'!Z79=0,"",'Energy Data Entry'!F79+'Energy Data Entry'!K79+'Energy Data Entry'!P79++'Energy Data Entry'!U79+'Energy Data Entry'!Z79)</f>
        <v>254</v>
      </c>
      <c r="N58" s="85">
        <f>IF('Energy Data Entry'!G79+'Energy Data Entry'!L79+'Energy Data Entry'!Q79+'Energy Data Entry'!V79+'Energy Data Entry'!AA79=0,"",'Energy Data Entry'!G79+'Energy Data Entry'!L79+'Energy Data Entry'!Q79+'Energy Data Entry'!V79+'Energy Data Entry'!AA79)</f>
        <v>3048</v>
      </c>
      <c r="O58" s="85">
        <f>IF('Energy Data Entry'!D79+'Energy Data Entry'!I79+'Energy Data Entry'!N79+'Energy Data Entry'!S79+'Energy Data Entry'!X79=0,"",'Energy Data Entry'!D79+'Energy Data Entry'!I79+'Energy Data Entry'!N79+'Energy Data Entry'!S79+'Energy Data Entry'!X79)</f>
        <v>12694.065</v>
      </c>
      <c r="P58" s="403">
        <f>'Energy Data Entry'!AF79</f>
        <v>0</v>
      </c>
      <c r="Q58" s="151">
        <f>_xlfn.IFERROR(Table4[[#This Row],[Total electric cost]]/Table4[[#This Row],[Electric kWh usage]],"")</f>
        <v>0.0855389451553561</v>
      </c>
      <c r="R58" s="151">
        <f>_xlfn.IFERROR(Table4[[#This Row],[Electric Demand Cost]]/Table4[[#This Row],[Total Electric Demand (Billed)]],_xlfn.IFERROR(Table4[[#This Row],[Electric Demand Cost]]/Table4[[#This Row],[Total Electric Demand (Actual)]],""))</f>
        <v>12</v>
      </c>
      <c r="S58" s="85">
        <f>_xlfn.IFERROR(Table4[[#This Row],[Total Gas cost]]+Table4[[#This Row],[Total electric cost]],"")</f>
        <v>12694.065</v>
      </c>
      <c r="T58" s="111"/>
      <c r="U58" s="85">
        <f>_xlfn.IFERROR(Table4[[#This Row],[Total Energy Cost]]/Table4[[#This Row],[Monthly Flow]],"")</f>
        <v>174.99400330851947</v>
      </c>
      <c r="V58" s="85">
        <f>_xlfn.IFERROR(Table4[[#This Row],[Total Energy Cost]]/Table4[[#This Row],[Total BOD removed]],"")</f>
        <v>0.11908339614926863</v>
      </c>
      <c r="W58" s="116"/>
      <c r="X58" s="86">
        <f>IF('Process Data Entry'!G60="","",'Process Data Entry'!G60)</f>
        <v>37</v>
      </c>
      <c r="Y58" s="86">
        <f>IF('Process Data Entry'!H60="","",'Process Data Entry'!H60)</f>
        <v>15</v>
      </c>
      <c r="Z58" s="86">
        <f>IF('Process Data Entry'!I60="",0,'Process Data Entry'!I60)</f>
        <v>0</v>
      </c>
      <c r="AA58" s="86">
        <f>IF('Process Data Entry'!J60="","",'Process Data Entry'!J60)</f>
        <v>3.3</v>
      </c>
      <c r="AB58" s="86">
        <f>IF('Process Data Entry'!K60="","",'Process Data Entry'!K60)</f>
        <v>0.8</v>
      </c>
      <c r="AC58" s="86">
        <f>IF('Process Data Entry'!L60="","",'Process Data Entry'!L60)</f>
        <v>7.8</v>
      </c>
      <c r="AD58" s="87">
        <f t="shared" si="3"/>
        <v>25.9</v>
      </c>
      <c r="AE58" s="87">
        <f t="shared" si="4"/>
        <v>15669.075239999996</v>
      </c>
      <c r="AF58" s="150">
        <f>IF('Process Data Entry'!M60="","",'Process Data Entry'!M60)</f>
        <v>6.9</v>
      </c>
      <c r="AG58" s="150">
        <f>IF('Process Data Entry'!N60="","",'Process Data Entry'!N60)</f>
        <v>1.1</v>
      </c>
      <c r="AH58" s="81">
        <f t="shared" si="5"/>
        <v>3508.90488</v>
      </c>
    </row>
    <row r="59" spans="1:34" ht="15">
      <c r="A59" s="78">
        <v>5</v>
      </c>
      <c r="B59" s="88">
        <f>'Energy Data Entry'!B80</f>
        <v>43862</v>
      </c>
      <c r="C59" s="80">
        <f>IF(OR('Process Data Entry'!C61="",'Process Data Entry'!C61=0),"",'Process Data Entry'!C61)</f>
        <v>2.42</v>
      </c>
      <c r="D59" s="81">
        <f>IF(Table4[[#This Row],[Avg Daily Flow]]="","",_xlfn.DAYS(EOMONTH(B59,0),EOMONTH(B59,-1))*C59)</f>
        <v>70.17999999999999</v>
      </c>
      <c r="E59" s="81">
        <f>IF('Process Data Entry'!F61="","",'Process Data Entry'!F61)</f>
        <v>3808.4943600000006</v>
      </c>
      <c r="F59" s="82">
        <f>IF(Table4[[#This Row],[BOD removed]]="","",Table4[[#This Row],[BOD removed]]*_xlfn.DAYS(EOMONTH(Table4[[#This Row],[Column2]],0),EOMONTH(Table4[[#This Row],[Column2]],-1)))</f>
        <v>110446.33644000001</v>
      </c>
      <c r="G59" s="83">
        <f>IF(SUM('Energy Data Entry'!C80,'Energy Data Entry'!H80,'Energy Data Entry'!M80,'Energy Data Entry'!R80,'Energy Data Entry'!W80)=0,"",SUM('Energy Data Entry'!C80,'Energy Data Entry'!H80,'Energy Data Entry'!M80,'Energy Data Entry'!R80,'Energy Data Entry'!W80))</f>
        <v>145356</v>
      </c>
      <c r="H59" s="83">
        <f>'Energy Data Entry'!AG80</f>
        <v>0</v>
      </c>
      <c r="I59" s="83">
        <f>IF(Table4[[#This Row],[Electric kWh usage]]="","",Table4[[#This Row],[Gas kWh usage]]+Table4[[#This Row],[Electric kWh usage]])</f>
        <v>145356</v>
      </c>
      <c r="J59" s="82">
        <f>IF(OR(Table4[[#This Row],[Electric kWh usage]]="",Table4[[#This Row],[Monthly Flow]]=""),"",(Table4[[#This Row],[Electric kWh usage]]+Table4[[#This Row],[Gas kWh usage]])/Table4[[#This Row],[Monthly Flow]])</f>
        <v>2071.188372755771</v>
      </c>
      <c r="K59" s="84">
        <f>_xlfn.IFERROR(IF(Table4[[#This Row],[Electric kWh usage]]="","",(Table4[[#This Row],[Electric kWh usage]]+Table4[[#This Row],[Gas kWh usage]])/Table4[[#This Row],[Total BOD removed]]),"")</f>
        <v>1.3160780582248164</v>
      </c>
      <c r="L59" s="83">
        <f>IF('Energy Data Entry'!E80+'Energy Data Entry'!J80+'Energy Data Entry'!O80+'Energy Data Entry'!T80+'Energy Data Entry'!Y80=0,"",'Energy Data Entry'!E80+'Energy Data Entry'!J80+'Energy Data Entry'!O80+'Energy Data Entry'!T80+'Energy Data Entry'!Y80)</f>
        <v>252</v>
      </c>
      <c r="M59" s="83">
        <f>IF('Energy Data Entry'!F80+'Energy Data Entry'!K80+'Energy Data Entry'!P80++'Energy Data Entry'!U80+'Energy Data Entry'!Z80=0,"",'Energy Data Entry'!F80+'Energy Data Entry'!K80+'Energy Data Entry'!P80++'Energy Data Entry'!U80+'Energy Data Entry'!Z80)</f>
        <v>252</v>
      </c>
      <c r="N59" s="85">
        <f>IF('Energy Data Entry'!G80+'Energy Data Entry'!L80+'Energy Data Entry'!Q80+'Energy Data Entry'!V80+'Energy Data Entry'!AA80=0,"",'Energy Data Entry'!G80+'Energy Data Entry'!L80+'Energy Data Entry'!Q80+'Energy Data Entry'!V80+'Energy Data Entry'!AA80)</f>
        <v>3024</v>
      </c>
      <c r="O59" s="85">
        <f>IF('Energy Data Entry'!D80+'Energy Data Entry'!I80+'Energy Data Entry'!N80+'Energy Data Entry'!S80+'Energy Data Entry'!X80=0,"",'Energy Data Entry'!D80+'Energy Data Entry'!I80+'Energy Data Entry'!N80+'Energy Data Entry'!S80+'Energy Data Entry'!X80)</f>
        <v>12472.14</v>
      </c>
      <c r="P59" s="403">
        <f>'Energy Data Entry'!AF80</f>
        <v>0</v>
      </c>
      <c r="Q59" s="151">
        <f>_xlfn.IFERROR(Table4[[#This Row],[Total electric cost]]/Table4[[#This Row],[Electric kWh usage]],"")</f>
        <v>0.08580409477420953</v>
      </c>
      <c r="R59" s="151">
        <f>_xlfn.IFERROR(Table4[[#This Row],[Electric Demand Cost]]/Table4[[#This Row],[Total Electric Demand (Billed)]],_xlfn.IFERROR(Table4[[#This Row],[Electric Demand Cost]]/Table4[[#This Row],[Total Electric Demand (Actual)]],""))</f>
        <v>12</v>
      </c>
      <c r="S59" s="85">
        <f>_xlfn.IFERROR(Table4[[#This Row],[Total Gas cost]]+Table4[[#This Row],[Total electric cost]],"")</f>
        <v>12472.14</v>
      </c>
      <c r="T59" s="111"/>
      <c r="U59" s="85">
        <f>_xlfn.IFERROR(Table4[[#This Row],[Total Energy Cost]]/Table4[[#This Row],[Monthly Flow]],"")</f>
        <v>177.716443431177</v>
      </c>
      <c r="V59" s="85">
        <f>_xlfn.IFERROR(Table4[[#This Row],[Total Energy Cost]]/Table4[[#This Row],[Total BOD removed]],"")</f>
        <v>0.11292488643817979</v>
      </c>
      <c r="W59" s="116"/>
      <c r="X59" s="86">
        <f>IF('Process Data Entry'!G61="","",'Process Data Entry'!G61)</f>
        <v>35</v>
      </c>
      <c r="Y59" s="86">
        <f>IF('Process Data Entry'!H61="","",'Process Data Entry'!H61)</f>
        <v>15</v>
      </c>
      <c r="Z59" s="86">
        <f>IF('Process Data Entry'!I61="",0,'Process Data Entry'!I61)</f>
        <v>0</v>
      </c>
      <c r="AA59" s="86">
        <f>IF('Process Data Entry'!J61="","",'Process Data Entry'!J61)</f>
        <v>2.8</v>
      </c>
      <c r="AB59" s="86">
        <f>IF('Process Data Entry'!K61="","",'Process Data Entry'!K61)</f>
        <v>1.4</v>
      </c>
      <c r="AC59" s="86">
        <f>IF('Process Data Entry'!L61="","",'Process Data Entry'!L61)</f>
        <v>7.9</v>
      </c>
      <c r="AD59" s="87">
        <f t="shared" si="3"/>
        <v>24.3</v>
      </c>
      <c r="AE59" s="87">
        <f t="shared" si="4"/>
        <v>14222.819159999997</v>
      </c>
      <c r="AF59" s="150">
        <f>IF('Process Data Entry'!M61="","",'Process Data Entry'!M61)</f>
        <v>7</v>
      </c>
      <c r="AG59" s="150">
        <f>IF('Process Data Entry'!N61="","",'Process Data Entry'!N61)</f>
        <v>0.6</v>
      </c>
      <c r="AH59" s="81">
        <f t="shared" si="5"/>
        <v>3745.9276799999993</v>
      </c>
    </row>
    <row r="60" spans="1:34" ht="15">
      <c r="A60" s="78">
        <v>5</v>
      </c>
      <c r="B60" s="88">
        <f>'Energy Data Entry'!B81</f>
        <v>43891</v>
      </c>
      <c r="C60" s="80">
        <f>IF(OR('Process Data Entry'!C62="",'Process Data Entry'!C62=0),"",'Process Data Entry'!C62)</f>
        <v>1.92</v>
      </c>
      <c r="D60" s="81">
        <f>IF(Table4[[#This Row],[Avg Daily Flow]]="","",_xlfn.DAYS(EOMONTH(B60,0),EOMONTH(B60,-1))*C60)</f>
        <v>59.519999999999996</v>
      </c>
      <c r="E60" s="81">
        <f>IF('Process Data Entry'!F62="","",'Process Data Entry'!F62)</f>
        <v>3095.2742400000006</v>
      </c>
      <c r="F60" s="82">
        <f>IF(Table4[[#This Row],[BOD removed]]="","",Table4[[#This Row],[BOD removed]]*_xlfn.DAYS(EOMONTH(Table4[[#This Row],[Column2]],0),EOMONTH(Table4[[#This Row],[Column2]],-1)))</f>
        <v>95953.50144000002</v>
      </c>
      <c r="G60" s="83">
        <f>IF(SUM('Energy Data Entry'!C81,'Energy Data Entry'!H81,'Energy Data Entry'!M81,'Energy Data Entry'!R81,'Energy Data Entry'!W81)=0,"",SUM('Energy Data Entry'!C81,'Energy Data Entry'!H81,'Energy Data Entry'!M81,'Energy Data Entry'!R81,'Energy Data Entry'!W81))</f>
        <v>171406</v>
      </c>
      <c r="H60" s="83">
        <f>'Energy Data Entry'!AG81</f>
        <v>0</v>
      </c>
      <c r="I60" s="83">
        <f>IF(Table4[[#This Row],[Electric kWh usage]]="","",Table4[[#This Row],[Gas kWh usage]]+Table4[[#This Row],[Electric kWh usage]])</f>
        <v>171406</v>
      </c>
      <c r="J60" s="82">
        <f>IF(OR(Table4[[#This Row],[Electric kWh usage]]="",Table4[[#This Row],[Monthly Flow]]=""),"",(Table4[[#This Row],[Electric kWh usage]]+Table4[[#This Row],[Gas kWh usage]])/Table4[[#This Row],[Monthly Flow]])</f>
        <v>2879.805107526882</v>
      </c>
      <c r="K60" s="84">
        <f>_xlfn.IFERROR(IF(Table4[[#This Row],[Electric kWh usage]]="","",(Table4[[#This Row],[Electric kWh usage]]+Table4[[#This Row],[Gas kWh usage]])/Table4[[#This Row],[Total BOD removed]]),"")</f>
        <v>1.7863444004404636</v>
      </c>
      <c r="L60" s="83">
        <f>IF('Energy Data Entry'!E81+'Energy Data Entry'!J81+'Energy Data Entry'!O81+'Energy Data Entry'!T81+'Energy Data Entry'!Y81=0,"",'Energy Data Entry'!E81+'Energy Data Entry'!J81+'Energy Data Entry'!O81+'Energy Data Entry'!T81+'Energy Data Entry'!Y81)</f>
        <v>313</v>
      </c>
      <c r="M60" s="83">
        <f>IF('Energy Data Entry'!F81+'Energy Data Entry'!K81+'Energy Data Entry'!P81++'Energy Data Entry'!U81+'Energy Data Entry'!Z81=0,"",'Energy Data Entry'!F81+'Energy Data Entry'!K81+'Energy Data Entry'!P81++'Energy Data Entry'!U81+'Energy Data Entry'!Z81)</f>
        <v>313</v>
      </c>
      <c r="N60" s="85">
        <f>IF('Energy Data Entry'!G81+'Energy Data Entry'!L81+'Energy Data Entry'!Q81+'Energy Data Entry'!V81+'Energy Data Entry'!AA81=0,"",'Energy Data Entry'!G81+'Energy Data Entry'!L81+'Energy Data Entry'!Q81+'Energy Data Entry'!V81+'Energy Data Entry'!AA81)</f>
        <v>3756</v>
      </c>
      <c r="O60" s="85">
        <f>IF('Energy Data Entry'!D81+'Energy Data Entry'!I81+'Energy Data Entry'!N81+'Energy Data Entry'!S81+'Energy Data Entry'!X81=0,"",'Energy Data Entry'!D81+'Energy Data Entry'!I81+'Energy Data Entry'!N81+'Energy Data Entry'!S81+'Energy Data Entry'!X81)</f>
        <v>14897.390000000001</v>
      </c>
      <c r="P60" s="403">
        <f>'Energy Data Entry'!AF81</f>
        <v>0</v>
      </c>
      <c r="Q60" s="151">
        <f>_xlfn.IFERROR(Table4[[#This Row],[Total electric cost]]/Table4[[#This Row],[Electric kWh usage]],"")</f>
        <v>0.08691288519655088</v>
      </c>
      <c r="R60" s="151">
        <f>_xlfn.IFERROR(Table4[[#This Row],[Electric Demand Cost]]/Table4[[#This Row],[Total Electric Demand (Billed)]],_xlfn.IFERROR(Table4[[#This Row],[Electric Demand Cost]]/Table4[[#This Row],[Total Electric Demand (Actual)]],""))</f>
        <v>12</v>
      </c>
      <c r="S60" s="85">
        <f>_xlfn.IFERROR(Table4[[#This Row],[Total Gas cost]]+Table4[[#This Row],[Total electric cost]],"")</f>
        <v>14897.390000000001</v>
      </c>
      <c r="T60" s="111"/>
      <c r="U60" s="85">
        <f>_xlfn.IFERROR(Table4[[#This Row],[Total Energy Cost]]/Table4[[#This Row],[Monthly Flow]],"")</f>
        <v>250.29217069892476</v>
      </c>
      <c r="V60" s="85">
        <f>_xlfn.IFERROR(Table4[[#This Row],[Total Energy Cost]]/Table4[[#This Row],[Total BOD removed]],"")</f>
        <v>0.15525634579698352</v>
      </c>
      <c r="W60" s="116"/>
      <c r="X60" s="86">
        <f>IF('Process Data Entry'!G62="","",'Process Data Entry'!G62)</f>
        <v>30</v>
      </c>
      <c r="Y60" s="86">
        <f>IF('Process Data Entry'!H62="","",'Process Data Entry'!H62)</f>
        <v>14</v>
      </c>
      <c r="Z60" s="86">
        <f>IF('Process Data Entry'!I62="",0,'Process Data Entry'!I62)</f>
        <v>0</v>
      </c>
      <c r="AA60" s="86">
        <f>IF('Process Data Entry'!J62="","",'Process Data Entry'!J62)</f>
        <v>3.2</v>
      </c>
      <c r="AB60" s="86">
        <f>IF('Process Data Entry'!K62="","",'Process Data Entry'!K62)</f>
        <v>1</v>
      </c>
      <c r="AC60" s="86">
        <f>IF('Process Data Entry'!L62="","",'Process Data Entry'!L62)</f>
        <v>7.9</v>
      </c>
      <c r="AD60" s="87">
        <f t="shared" si="3"/>
        <v>18.9</v>
      </c>
      <c r="AE60" s="87">
        <f t="shared" si="4"/>
        <v>9381.899519999999</v>
      </c>
      <c r="AF60" s="150">
        <f>IF('Process Data Entry'!M62="","",'Process Data Entry'!M62)</f>
        <v>8</v>
      </c>
      <c r="AG60" s="150">
        <f>IF('Process Data Entry'!N62="","",'Process Data Entry'!N62)</f>
        <v>1.3</v>
      </c>
      <c r="AH60" s="81">
        <f t="shared" si="5"/>
        <v>3325.85856</v>
      </c>
    </row>
    <row r="61" spans="1:34" ht="15">
      <c r="A61" s="78">
        <v>5</v>
      </c>
      <c r="B61" s="88">
        <f>'Energy Data Entry'!B82</f>
        <v>43922</v>
      </c>
      <c r="C61" s="80">
        <f>IF(OR('Process Data Entry'!C63="",'Process Data Entry'!C63=0),"",'Process Data Entry'!C63)</f>
        <v>1.74</v>
      </c>
      <c r="D61" s="81">
        <f>IF(Table4[[#This Row],[Avg Daily Flow]]="","",_xlfn.DAYS(EOMONTH(B61,0),EOMONTH(B61,-1))*C61)</f>
        <v>52.2</v>
      </c>
      <c r="E61" s="81">
        <f>IF('Process Data Entry'!F63="","",'Process Data Entry'!F63)</f>
        <v>2337.09318</v>
      </c>
      <c r="F61" s="82">
        <f>IF(Table4[[#This Row],[BOD removed]]="","",Table4[[#This Row],[BOD removed]]*_xlfn.DAYS(EOMONTH(Table4[[#This Row],[Column2]],0),EOMONTH(Table4[[#This Row],[Column2]],-1)))</f>
        <v>70112.7954</v>
      </c>
      <c r="G61" s="83">
        <f>IF(SUM('Energy Data Entry'!C82,'Energy Data Entry'!H82,'Energy Data Entry'!M82,'Energy Data Entry'!R82,'Energy Data Entry'!W82)=0,"",SUM('Energy Data Entry'!C82,'Energy Data Entry'!H82,'Energy Data Entry'!M82,'Energy Data Entry'!R82,'Energy Data Entry'!W82))</f>
        <v>142572</v>
      </c>
      <c r="H61" s="83">
        <f>'Energy Data Entry'!AG82</f>
        <v>0</v>
      </c>
      <c r="I61" s="83">
        <f>IF(Table4[[#This Row],[Electric kWh usage]]="","",Table4[[#This Row],[Gas kWh usage]]+Table4[[#This Row],[Electric kWh usage]])</f>
        <v>142572</v>
      </c>
      <c r="J61" s="82">
        <f>IF(OR(Table4[[#This Row],[Electric kWh usage]]="",Table4[[#This Row],[Monthly Flow]]=""),"",(Table4[[#This Row],[Electric kWh usage]]+Table4[[#This Row],[Gas kWh usage]])/Table4[[#This Row],[Monthly Flow]])</f>
        <v>2731.2643678160916</v>
      </c>
      <c r="K61" s="84">
        <f>_xlfn.IFERROR(IF(Table4[[#This Row],[Electric kWh usage]]="","",(Table4[[#This Row],[Electric kWh usage]]+Table4[[#This Row],[Gas kWh usage]])/Table4[[#This Row],[Total BOD removed]]),"")</f>
        <v>2.0334662052284966</v>
      </c>
      <c r="L61" s="83">
        <f>IF('Energy Data Entry'!E82+'Energy Data Entry'!J82+'Energy Data Entry'!O82+'Energy Data Entry'!T82+'Energy Data Entry'!Y82=0,"",'Energy Data Entry'!E82+'Energy Data Entry'!J82+'Energy Data Entry'!O82+'Energy Data Entry'!T82+'Energy Data Entry'!Y82)</f>
        <v>230</v>
      </c>
      <c r="M61" s="83">
        <f>IF('Energy Data Entry'!F82+'Energy Data Entry'!K82+'Energy Data Entry'!P82++'Energy Data Entry'!U82+'Energy Data Entry'!Z82=0,"",'Energy Data Entry'!F82+'Energy Data Entry'!K82+'Energy Data Entry'!P82++'Energy Data Entry'!U82+'Energy Data Entry'!Z82)</f>
        <v>230</v>
      </c>
      <c r="N61" s="85">
        <f>IF('Energy Data Entry'!G82+'Energy Data Entry'!L82+'Energy Data Entry'!Q82+'Energy Data Entry'!V82+'Energy Data Entry'!AA82=0,"",'Energy Data Entry'!G82+'Energy Data Entry'!L82+'Energy Data Entry'!Q82+'Energy Data Entry'!V82+'Energy Data Entry'!AA82)</f>
        <v>2760</v>
      </c>
      <c r="O61" s="85">
        <f>IF('Energy Data Entry'!D82+'Energy Data Entry'!I82+'Energy Data Entry'!N82+'Energy Data Entry'!S82+'Energy Data Entry'!X82=0,"",'Energy Data Entry'!D82+'Energy Data Entry'!I82+'Energy Data Entry'!N82+'Energy Data Entry'!S82+'Energy Data Entry'!X82)</f>
        <v>12027.18</v>
      </c>
      <c r="P61" s="403">
        <f>'Energy Data Entry'!AF82</f>
        <v>0</v>
      </c>
      <c r="Q61" s="151">
        <f>_xlfn.IFERROR(Table4[[#This Row],[Total electric cost]]/Table4[[#This Row],[Electric kWh usage]],"")</f>
        <v>0.08435863984513088</v>
      </c>
      <c r="R61" s="151">
        <f>_xlfn.IFERROR(Table4[[#This Row],[Electric Demand Cost]]/Table4[[#This Row],[Total Electric Demand (Billed)]],_xlfn.IFERROR(Table4[[#This Row],[Electric Demand Cost]]/Table4[[#This Row],[Total Electric Demand (Actual)]],""))</f>
        <v>12</v>
      </c>
      <c r="S61" s="85">
        <f>_xlfn.IFERROR(Table4[[#This Row],[Total Gas cost]]+Table4[[#This Row],[Total electric cost]],"")</f>
        <v>12027.18</v>
      </c>
      <c r="T61" s="111"/>
      <c r="U61" s="85">
        <f>_xlfn.IFERROR(Table4[[#This Row],[Total Energy Cost]]/Table4[[#This Row],[Monthly Flow]],"")</f>
        <v>230.40574712643678</v>
      </c>
      <c r="V61" s="85">
        <f>_xlfn.IFERROR(Table4[[#This Row],[Total Energy Cost]]/Table4[[#This Row],[Total BOD removed]],"")</f>
        <v>0.17154044324411574</v>
      </c>
      <c r="W61" s="116"/>
      <c r="X61" s="86">
        <f>IF('Process Data Entry'!G63="","",'Process Data Entry'!G63)</f>
        <v>33</v>
      </c>
      <c r="Y61" s="86">
        <f>IF('Process Data Entry'!H63="","",'Process Data Entry'!H63)</f>
        <v>18</v>
      </c>
      <c r="Z61" s="86">
        <f>IF('Process Data Entry'!I63="",0,'Process Data Entry'!I63)</f>
        <v>0</v>
      </c>
      <c r="AA61" s="86">
        <f>IF('Process Data Entry'!J63="","",'Process Data Entry'!J63)</f>
        <v>2.8</v>
      </c>
      <c r="AB61" s="86">
        <f>IF('Process Data Entry'!K63="","",'Process Data Entry'!K63)</f>
        <v>1</v>
      </c>
      <c r="AC61" s="86">
        <f>IF('Process Data Entry'!L63="","",'Process Data Entry'!L63)</f>
        <v>9</v>
      </c>
      <c r="AD61" s="87">
        <f t="shared" si="3"/>
        <v>21.2</v>
      </c>
      <c r="AE61" s="87">
        <f t="shared" si="4"/>
        <v>9229.3776</v>
      </c>
      <c r="AF61" s="150">
        <f>IF('Process Data Entry'!M63="","",'Process Data Entry'!M63)</f>
        <v>9.3</v>
      </c>
      <c r="AG61" s="150">
        <f>IF('Process Data Entry'!N63="","",'Process Data Entry'!N63)</f>
        <v>1</v>
      </c>
      <c r="AH61" s="81">
        <f t="shared" si="5"/>
        <v>3613.3884000000003</v>
      </c>
    </row>
    <row r="62" spans="1:34" ht="15">
      <c r="A62" s="78">
        <v>5</v>
      </c>
      <c r="B62" s="88">
        <f>'Energy Data Entry'!B83</f>
        <v>43952</v>
      </c>
      <c r="C62" s="80">
        <f>IF(OR('Process Data Entry'!C64="",'Process Data Entry'!C64=0),"",'Process Data Entry'!C64)</f>
        <v>1.52</v>
      </c>
      <c r="D62" s="81">
        <f>IF(Table4[[#This Row],[Avg Daily Flow]]="","",_xlfn.DAYS(EOMONTH(B62,0),EOMONTH(B62,-1))*C62)</f>
        <v>47.12</v>
      </c>
      <c r="E62" s="81">
        <f>IF('Process Data Entry'!F64="","",'Process Data Entry'!F64)</f>
        <v>1855.8835199999996</v>
      </c>
      <c r="F62" s="82">
        <f>IF(Table4[[#This Row],[BOD removed]]="","",Table4[[#This Row],[BOD removed]]*_xlfn.DAYS(EOMONTH(Table4[[#This Row],[Column2]],0),EOMONTH(Table4[[#This Row],[Column2]],-1)))</f>
        <v>57532.389119999985</v>
      </c>
      <c r="G62" s="83">
        <f>IF(SUM('Energy Data Entry'!C83,'Energy Data Entry'!H83,'Energy Data Entry'!M83,'Energy Data Entry'!R83,'Energy Data Entry'!W83)=0,"",SUM('Energy Data Entry'!C83,'Energy Data Entry'!H83,'Energy Data Entry'!M83,'Energy Data Entry'!R83,'Energy Data Entry'!W83))</f>
        <v>115539</v>
      </c>
      <c r="H62" s="83">
        <f>'Energy Data Entry'!AG83</f>
        <v>0</v>
      </c>
      <c r="I62" s="83">
        <f>IF(Table4[[#This Row],[Electric kWh usage]]="","",Table4[[#This Row],[Gas kWh usage]]+Table4[[#This Row],[Electric kWh usage]])</f>
        <v>115539</v>
      </c>
      <c r="J62" s="82">
        <f>IF(OR(Table4[[#This Row],[Electric kWh usage]]="",Table4[[#This Row],[Monthly Flow]]=""),"",(Table4[[#This Row],[Electric kWh usage]]+Table4[[#This Row],[Gas kWh usage]])/Table4[[#This Row],[Monthly Flow]])</f>
        <v>2452.016129032258</v>
      </c>
      <c r="K62" s="84">
        <f>_xlfn.IFERROR(IF(Table4[[#This Row],[Electric kWh usage]]="","",(Table4[[#This Row],[Electric kWh usage]]+Table4[[#This Row],[Gas kWh usage]])/Table4[[#This Row],[Total BOD removed]]),"")</f>
        <v>2.0082426919384644</v>
      </c>
      <c r="L62" s="83">
        <f>IF('Energy Data Entry'!E83+'Energy Data Entry'!J83+'Energy Data Entry'!O83+'Energy Data Entry'!T83+'Energy Data Entry'!Y83=0,"",'Energy Data Entry'!E83+'Energy Data Entry'!J83+'Energy Data Entry'!O83+'Energy Data Entry'!T83+'Energy Data Entry'!Y83)</f>
        <v>199</v>
      </c>
      <c r="M62" s="83">
        <f>IF('Energy Data Entry'!F83+'Energy Data Entry'!K83+'Energy Data Entry'!P83++'Energy Data Entry'!U83+'Energy Data Entry'!Z83=0,"",'Energy Data Entry'!F83+'Energy Data Entry'!K83+'Energy Data Entry'!P83++'Energy Data Entry'!U83+'Energy Data Entry'!Z83)</f>
        <v>224</v>
      </c>
      <c r="N62" s="85">
        <f>IF('Energy Data Entry'!G83+'Energy Data Entry'!L83+'Energy Data Entry'!Q83+'Energy Data Entry'!V83+'Energy Data Entry'!AA83=0,"",'Energy Data Entry'!G83+'Energy Data Entry'!L83+'Energy Data Entry'!Q83+'Energy Data Entry'!V83+'Energy Data Entry'!AA83)</f>
        <v>2688</v>
      </c>
      <c r="O62" s="85">
        <f>IF('Energy Data Entry'!D83+'Energy Data Entry'!I83+'Energy Data Entry'!N83+'Energy Data Entry'!S83+'Energy Data Entry'!X83=0,"",'Energy Data Entry'!D83+'Energy Data Entry'!I83+'Energy Data Entry'!N83+'Energy Data Entry'!S83+'Energy Data Entry'!X83)</f>
        <v>10198.035</v>
      </c>
      <c r="P62" s="403">
        <f>'Energy Data Entry'!AF83</f>
        <v>0</v>
      </c>
      <c r="Q62" s="151">
        <f>_xlfn.IFERROR(Table4[[#This Row],[Total electric cost]]/Table4[[#This Row],[Electric kWh usage]],"")</f>
        <v>0.08826487160179679</v>
      </c>
      <c r="R62" s="151">
        <f>_xlfn.IFERROR(Table4[[#This Row],[Electric Demand Cost]]/Table4[[#This Row],[Total Electric Demand (Billed)]],_xlfn.IFERROR(Table4[[#This Row],[Electric Demand Cost]]/Table4[[#This Row],[Total Electric Demand (Actual)]],""))</f>
        <v>12</v>
      </c>
      <c r="S62" s="85">
        <f>_xlfn.IFERROR(Table4[[#This Row],[Total Gas cost]]+Table4[[#This Row],[Total electric cost]],"")</f>
        <v>10198.035</v>
      </c>
      <c r="T62" s="111"/>
      <c r="U62" s="85">
        <f>_xlfn.IFERROR(Table4[[#This Row],[Total Energy Cost]]/Table4[[#This Row],[Monthly Flow]],"")</f>
        <v>216.42688879456708</v>
      </c>
      <c r="V62" s="85">
        <f>_xlfn.IFERROR(Table4[[#This Row],[Total Energy Cost]]/Table4[[#This Row],[Total BOD removed]],"")</f>
        <v>0.17725728334919533</v>
      </c>
      <c r="W62" s="116"/>
      <c r="X62" s="86">
        <f>IF('Process Data Entry'!G64="","",'Process Data Entry'!G64)</f>
        <v>38</v>
      </c>
      <c r="Y62" s="86">
        <f>IF('Process Data Entry'!H64="","",'Process Data Entry'!H64)</f>
        <v>12</v>
      </c>
      <c r="Z62" s="86">
        <f>IF('Process Data Entry'!I64="",0,'Process Data Entry'!I64)</f>
        <v>0</v>
      </c>
      <c r="AA62" s="86">
        <f>IF('Process Data Entry'!J64="","",'Process Data Entry'!J64)</f>
        <v>2.8</v>
      </c>
      <c r="AB62" s="86">
        <f>IF('Process Data Entry'!K64="","",'Process Data Entry'!K64)</f>
        <v>1</v>
      </c>
      <c r="AC62" s="86">
        <f>IF('Process Data Entry'!L64="","",'Process Data Entry'!L64)</f>
        <v>9.3</v>
      </c>
      <c r="AD62" s="87">
        <f t="shared" si="3"/>
        <v>25.9</v>
      </c>
      <c r="AE62" s="87">
        <f t="shared" si="4"/>
        <v>10178.20272</v>
      </c>
      <c r="AF62" s="150">
        <f>IF('Process Data Entry'!M64="","",'Process Data Entry'!M64)</f>
        <v>9</v>
      </c>
      <c r="AG62" s="150">
        <f>IF('Process Data Entry'!N64="","",'Process Data Entry'!N64)</f>
        <v>1.5</v>
      </c>
      <c r="AH62" s="81">
        <f t="shared" si="5"/>
        <v>2947.3559999999998</v>
      </c>
    </row>
    <row r="63" spans="1:34" s="105" customFormat="1" ht="15" thickBot="1">
      <c r="A63" s="97">
        <v>5</v>
      </c>
      <c r="B63" s="107">
        <f>'Energy Data Entry'!B84</f>
        <v>43983</v>
      </c>
      <c r="C63" s="355">
        <f>IF(OR('Process Data Entry'!C65="",'Process Data Entry'!C65=0),"",'Process Data Entry'!C65)</f>
        <v>2.16</v>
      </c>
      <c r="D63" s="99">
        <f>IF(Table4[[#This Row],[Avg Daily Flow]]="","",_xlfn.DAYS(EOMONTH(B63,0),EOMONTH(B63,-1))*C63)</f>
        <v>64.80000000000001</v>
      </c>
      <c r="E63" s="99">
        <f>IF('Process Data Entry'!F65="","",'Process Data Entry'!F65)</f>
        <v>2705.7628800000007</v>
      </c>
      <c r="F63" s="100">
        <f>IF(Table4[[#This Row],[BOD removed]]="","",Table4[[#This Row],[BOD removed]]*_xlfn.DAYS(EOMONTH(Table4[[#This Row],[Column2]],0),EOMONTH(Table4[[#This Row],[Column2]],-1)))</f>
        <v>81172.88640000002</v>
      </c>
      <c r="G63" s="101">
        <f>IF(SUM('Energy Data Entry'!C84,'Energy Data Entry'!H84,'Energy Data Entry'!M84,'Energy Data Entry'!R84,'Energy Data Entry'!W84)=0,"",SUM('Energy Data Entry'!C84,'Energy Data Entry'!H84,'Energy Data Entry'!M84,'Energy Data Entry'!R84,'Energy Data Entry'!W84))</f>
        <v>104187</v>
      </c>
      <c r="H63" s="101">
        <f>'Energy Data Entry'!AG84</f>
        <v>0</v>
      </c>
      <c r="I63" s="101">
        <f>IF(Table4[[#This Row],[Electric kWh usage]]="","",Table4[[#This Row],[Gas kWh usage]]+Table4[[#This Row],[Electric kWh usage]])</f>
        <v>104187</v>
      </c>
      <c r="J63" s="100">
        <f>IF(OR(Table4[[#This Row],[Electric kWh usage]]="",Table4[[#This Row],[Monthly Flow]]=""),"",(Table4[[#This Row],[Electric kWh usage]]+Table4[[#This Row],[Gas kWh usage]])/Table4[[#This Row],[Monthly Flow]])</f>
        <v>1607.824074074074</v>
      </c>
      <c r="K63" s="102">
        <f>_xlfn.IFERROR(IF(Table4[[#This Row],[Electric kWh usage]]="","",(Table4[[#This Row],[Electric kWh usage]]+Table4[[#This Row],[Gas kWh usage]])/Table4[[#This Row],[Total BOD removed]]),"")</f>
        <v>1.2835197147800326</v>
      </c>
      <c r="L63" s="101">
        <f>IF('Energy Data Entry'!E84+'Energy Data Entry'!J84+'Energy Data Entry'!O84+'Energy Data Entry'!T84+'Energy Data Entry'!Y84=0,"",'Energy Data Entry'!E84+'Energy Data Entry'!J84+'Energy Data Entry'!O84+'Energy Data Entry'!T84+'Energy Data Entry'!Y84)</f>
        <v>182</v>
      </c>
      <c r="M63" s="101">
        <f>IF('Energy Data Entry'!F84+'Energy Data Entry'!K84+'Energy Data Entry'!P84++'Energy Data Entry'!U84+'Energy Data Entry'!Z84=0,"",'Energy Data Entry'!F84+'Energy Data Entry'!K84+'Energy Data Entry'!P84++'Energy Data Entry'!U84+'Energy Data Entry'!Z84)</f>
        <v>219</v>
      </c>
      <c r="N63" s="103">
        <f>IF('Energy Data Entry'!G84+'Energy Data Entry'!L84+'Energy Data Entry'!Q84+'Energy Data Entry'!V84+'Energy Data Entry'!AA84=0,"",'Energy Data Entry'!G84+'Energy Data Entry'!L84+'Energy Data Entry'!Q84+'Energy Data Entry'!V84+'Energy Data Entry'!AA84)</f>
        <v>2628</v>
      </c>
      <c r="O63" s="103">
        <f>IF('Energy Data Entry'!D84+'Energy Data Entry'!I84+'Energy Data Entry'!N84+'Energy Data Entry'!S84+'Energy Data Entry'!X84=0,"",'Energy Data Entry'!D84+'Energy Data Entry'!I84+'Energy Data Entry'!N84+'Energy Data Entry'!S84+'Energy Data Entry'!X84)</f>
        <v>9400.155</v>
      </c>
      <c r="P63" s="404">
        <f>'Energy Data Entry'!AF84</f>
        <v>0</v>
      </c>
      <c r="Q63" s="152">
        <f>_xlfn.IFERROR(Table4[[#This Row],[Total electric cost]]/Table4[[#This Row],[Electric kWh usage]],"")</f>
        <v>0.09022387629934638</v>
      </c>
      <c r="R63" s="152">
        <f>_xlfn.IFERROR(Table4[[#This Row],[Electric Demand Cost]]/Table4[[#This Row],[Total Electric Demand (Billed)]],_xlfn.IFERROR(Table4[[#This Row],[Electric Demand Cost]]/Table4[[#This Row],[Total Electric Demand (Actual)]],""))</f>
        <v>12</v>
      </c>
      <c r="S63" s="103">
        <f>_xlfn.IFERROR(Table4[[#This Row],[Total Gas cost]]+Table4[[#This Row],[Total electric cost]],"")</f>
        <v>9400.155</v>
      </c>
      <c r="T63" s="112"/>
      <c r="U63" s="103">
        <f>_xlfn.IFERROR(Table4[[#This Row],[Total Energy Cost]]/Table4[[#This Row],[Monthly Flow]],"")</f>
        <v>145.06412037037035</v>
      </c>
      <c r="V63" s="103">
        <f>_xlfn.IFERROR(Table4[[#This Row],[Total Energy Cost]]/Table4[[#This Row],[Total BOD removed]],"")</f>
        <v>0.11580412397408599</v>
      </c>
      <c r="W63" s="356"/>
      <c r="X63" s="104">
        <f>IF('Process Data Entry'!G65="","",'Process Data Entry'!G65)</f>
        <v>33</v>
      </c>
      <c r="Y63" s="104">
        <f>IF('Process Data Entry'!H65="","",'Process Data Entry'!H65)</f>
        <v>18</v>
      </c>
      <c r="Z63" s="104">
        <f>IF('Process Data Entry'!I65="",0,'Process Data Entry'!I65)</f>
        <v>0</v>
      </c>
      <c r="AA63" s="104">
        <f>IF('Process Data Entry'!J65="","",'Process Data Entry'!J65)</f>
        <v>2.9</v>
      </c>
      <c r="AB63" s="104">
        <f>IF('Process Data Entry'!K65="","",'Process Data Entry'!K65)</f>
        <v>1</v>
      </c>
      <c r="AC63" s="104">
        <f>IF('Process Data Entry'!L65="","",'Process Data Entry'!L65)</f>
        <v>6.4</v>
      </c>
      <c r="AD63" s="357">
        <f t="shared" si="3"/>
        <v>23.7</v>
      </c>
      <c r="AE63" s="357">
        <f t="shared" si="4"/>
        <v>12808.238400000002</v>
      </c>
      <c r="AF63" s="358">
        <f>IF('Process Data Entry'!M65="","",'Process Data Entry'!M65)</f>
        <v>7.4</v>
      </c>
      <c r="AG63" s="358">
        <f>IF('Process Data Entry'!N65="","",'Process Data Entry'!N65)</f>
        <v>1.2</v>
      </c>
      <c r="AH63" s="99">
        <f t="shared" si="5"/>
        <v>3350.6784000000007</v>
      </c>
    </row>
    <row r="64" spans="1:34" ht="15">
      <c r="A64" s="89">
        <v>6</v>
      </c>
      <c r="B64" s="106">
        <f>'Energy Data Entry'!B85</f>
        <v>44013</v>
      </c>
      <c r="C64" s="359">
        <f>IF(OR('Process Data Entry'!C66="",'Process Data Entry'!C66=0),"",'Process Data Entry'!C66)</f>
        <v>1.96</v>
      </c>
      <c r="D64" s="91">
        <f>IF(Table4[[#This Row],[Avg Daily Flow]]="","",_xlfn.DAYS(EOMONTH(B64,0),EOMONTH(B64,-1))*C64)</f>
        <v>60.76</v>
      </c>
      <c r="E64" s="91">
        <f>IF('Process Data Entry'!F66="","",'Process Data Entry'!F66)</f>
        <v>2507.5377599999997</v>
      </c>
      <c r="F64" s="92">
        <f>IF(Table4[[#This Row],[BOD removed]]="","",Table4[[#This Row],[BOD removed]]*_xlfn.DAYS(EOMONTH(Table4[[#This Row],[Column2]],0),EOMONTH(Table4[[#This Row],[Column2]],-1)))</f>
        <v>77733.67055999998</v>
      </c>
      <c r="G64" s="93">
        <f>IF(SUM('Energy Data Entry'!C85,'Energy Data Entry'!H85,'Energy Data Entry'!M85,'Energy Data Entry'!R85,'Energy Data Entry'!W85)=0,"",SUM('Energy Data Entry'!C85,'Energy Data Entry'!H85,'Energy Data Entry'!M85,'Energy Data Entry'!R85,'Energy Data Entry'!W85))</f>
        <v>146616</v>
      </c>
      <c r="H64" s="93">
        <f>'Energy Data Entry'!AG85</f>
        <v>0</v>
      </c>
      <c r="I64" s="93">
        <f>IF(Table4[[#This Row],[Electric kWh usage]]="","",Table4[[#This Row],[Gas kWh usage]]+Table4[[#This Row],[Electric kWh usage]])</f>
        <v>146616</v>
      </c>
      <c r="J64" s="92">
        <f>IF(OR(Table4[[#This Row],[Electric kWh usage]]="",Table4[[#This Row],[Monthly Flow]]=""),"",(Table4[[#This Row],[Electric kWh usage]]+Table4[[#This Row],[Gas kWh usage]])/Table4[[#This Row],[Monthly Flow]])</f>
        <v>2413.0348913759053</v>
      </c>
      <c r="K64" s="94">
        <f>_xlfn.IFERROR(IF(Table4[[#This Row],[Electric kWh usage]]="","",(Table4[[#This Row],[Electric kWh usage]]+Table4[[#This Row],[Gas kWh usage]])/Table4[[#This Row],[Total BOD removed]]),"")</f>
        <v>1.886132469286036</v>
      </c>
      <c r="L64" s="93">
        <f>IF('Energy Data Entry'!E85+'Energy Data Entry'!J85+'Energy Data Entry'!O85+'Energy Data Entry'!T85+'Energy Data Entry'!Y85=0,"",'Energy Data Entry'!E85+'Energy Data Entry'!J85+'Energy Data Entry'!O85+'Energy Data Entry'!T85+'Energy Data Entry'!Y85)</f>
        <v>239</v>
      </c>
      <c r="M64" s="93">
        <f>IF('Energy Data Entry'!F85+'Energy Data Entry'!K85+'Energy Data Entry'!P85++'Energy Data Entry'!U85+'Energy Data Entry'!Z85=0,"",'Energy Data Entry'!F85+'Energy Data Entry'!K85+'Energy Data Entry'!P85++'Energy Data Entry'!U85+'Energy Data Entry'!Z85)</f>
        <v>239</v>
      </c>
      <c r="N64" s="95">
        <f>IF('Energy Data Entry'!G85+'Energy Data Entry'!L85+'Energy Data Entry'!Q85+'Energy Data Entry'!V85+'Energy Data Entry'!AA85=0,"",'Energy Data Entry'!G85+'Energy Data Entry'!L85+'Energy Data Entry'!Q85+'Energy Data Entry'!V85+'Energy Data Entry'!AA85)</f>
        <v>2868</v>
      </c>
      <c r="O64" s="95">
        <f>IF('Energy Data Entry'!D85+'Energy Data Entry'!I85+'Energy Data Entry'!N85+'Energy Data Entry'!S85+'Energy Data Entry'!X85=0,"",'Energy Data Entry'!D85+'Energy Data Entry'!I85+'Energy Data Entry'!N85+'Energy Data Entry'!S85+'Energy Data Entry'!X85)</f>
        <v>12398.04</v>
      </c>
      <c r="P64" s="405">
        <f>'Energy Data Entry'!AF85</f>
        <v>0</v>
      </c>
      <c r="Q64" s="153">
        <f>_xlfn.IFERROR(Table4[[#This Row],[Total electric cost]]/Table4[[#This Row],[Electric kWh usage]],"")</f>
        <v>0.0845613029955803</v>
      </c>
      <c r="R64" s="153">
        <f>_xlfn.IFERROR(Table4[[#This Row],[Electric Demand Cost]]/Table4[[#This Row],[Total Electric Demand (Billed)]],_xlfn.IFERROR(Table4[[#This Row],[Electric Demand Cost]]/Table4[[#This Row],[Total Electric Demand (Actual)]],""))</f>
        <v>12</v>
      </c>
      <c r="S64" s="95">
        <f>_xlfn.IFERROR(Table4[[#This Row],[Total Gas cost]]+Table4[[#This Row],[Total electric cost]],"")</f>
        <v>12398.04</v>
      </c>
      <c r="T64" s="113"/>
      <c r="U64" s="95">
        <f>_xlfn.IFERROR(Table4[[#This Row],[Total Energy Cost]]/Table4[[#This Row],[Monthly Flow]],"")</f>
        <v>204.0493745885451</v>
      </c>
      <c r="V64" s="95">
        <f>_xlfn.IFERROR(Table4[[#This Row],[Total Energy Cost]]/Table4[[#This Row],[Total BOD removed]],"")</f>
        <v>0.15949381922509853</v>
      </c>
      <c r="W64" s="116"/>
      <c r="X64" s="96">
        <f>IF('Process Data Entry'!G66="","",'Process Data Entry'!G66)</f>
        <v>38</v>
      </c>
      <c r="Y64" s="96">
        <f>IF('Process Data Entry'!H66="","",'Process Data Entry'!H66)</f>
        <v>13</v>
      </c>
      <c r="Z64" s="96">
        <f>IF('Process Data Entry'!I66="",0,'Process Data Entry'!I66)</f>
        <v>0</v>
      </c>
      <c r="AA64" s="96">
        <f>IF('Process Data Entry'!J66="","",'Process Data Entry'!J66)</f>
        <v>3.2</v>
      </c>
      <c r="AB64" s="96">
        <f>IF('Process Data Entry'!K66="","",'Process Data Entry'!K66)</f>
        <v>1.6</v>
      </c>
      <c r="AC64" s="96">
        <f>IF('Process Data Entry'!L66="","",'Process Data Entry'!L66)</f>
        <v>7.1</v>
      </c>
      <c r="AD64" s="360">
        <f t="shared" si="3"/>
        <v>27.7</v>
      </c>
      <c r="AE64" s="360">
        <f t="shared" si="4"/>
        <v>14036.65368</v>
      </c>
      <c r="AF64" s="361">
        <f>IF('Process Data Entry'!M66="","",'Process Data Entry'!M66)</f>
        <v>8.1</v>
      </c>
      <c r="AG64" s="361">
        <f>IF('Process Data Entry'!N66="","",'Process Data Entry'!N66)</f>
        <v>0.9</v>
      </c>
      <c r="AH64" s="91">
        <f t="shared" si="5"/>
        <v>3648.5164799999993</v>
      </c>
    </row>
    <row r="65" spans="1:34" ht="15">
      <c r="A65" s="78">
        <v>6</v>
      </c>
      <c r="B65" s="88">
        <f>'Energy Data Entry'!B86</f>
        <v>44044</v>
      </c>
      <c r="C65" s="80">
        <f>IF(OR('Process Data Entry'!C67="",'Process Data Entry'!C67=0),"",'Process Data Entry'!C67)</f>
        <v>2.36</v>
      </c>
      <c r="D65" s="81">
        <f>IF(Table4[[#This Row],[Avg Daily Flow]]="","",_xlfn.DAYS(EOMONTH(B65,0),EOMONTH(B65,-1))*C65)</f>
        <v>73.16</v>
      </c>
      <c r="E65" s="81">
        <f>IF('Process Data Entry'!F67="","",'Process Data Entry'!F67)</f>
        <v>3401.1187199999995</v>
      </c>
      <c r="F65" s="82">
        <f>IF(Table4[[#This Row],[BOD removed]]="","",Table4[[#This Row],[BOD removed]]*_xlfn.DAYS(EOMONTH(Table4[[#This Row],[Column2]],0),EOMONTH(Table4[[#This Row],[Column2]],-1)))</f>
        <v>105434.68031999998</v>
      </c>
      <c r="G65" s="83">
        <f>IF(SUM('Energy Data Entry'!C86,'Energy Data Entry'!H86,'Energy Data Entry'!M86,'Energy Data Entry'!R86,'Energy Data Entry'!W86)=0,"",SUM('Energy Data Entry'!C86,'Energy Data Entry'!H86,'Energy Data Entry'!M86,'Energy Data Entry'!R86,'Energy Data Entry'!W86))</f>
        <v>144609</v>
      </c>
      <c r="H65" s="83">
        <f>'Energy Data Entry'!AG86</f>
        <v>0</v>
      </c>
      <c r="I65" s="83">
        <f>IF(Table4[[#This Row],[Electric kWh usage]]="","",Table4[[#This Row],[Gas kWh usage]]+Table4[[#This Row],[Electric kWh usage]])</f>
        <v>144609</v>
      </c>
      <c r="J65" s="82">
        <f>IF(OR(Table4[[#This Row],[Electric kWh usage]]="",Table4[[#This Row],[Monthly Flow]]=""),"",(Table4[[#This Row],[Electric kWh usage]]+Table4[[#This Row],[Gas kWh usage]])/Table4[[#This Row],[Monthly Flow]])</f>
        <v>1976.6129032258066</v>
      </c>
      <c r="K65" s="84">
        <f>_xlfn.IFERROR(IF(Table4[[#This Row],[Electric kWh usage]]="","",(Table4[[#This Row],[Electric kWh usage]]+Table4[[#This Row],[Gas kWh usage]])/Table4[[#This Row],[Total BOD removed]]),"")</f>
        <v>1.3715506089751857</v>
      </c>
      <c r="L65" s="83">
        <f>IF('Energy Data Entry'!E86+'Energy Data Entry'!J86+'Energy Data Entry'!O86+'Energy Data Entry'!T86+'Energy Data Entry'!Y86=0,"",'Energy Data Entry'!E86+'Energy Data Entry'!J86+'Energy Data Entry'!O86+'Energy Data Entry'!T86+'Energy Data Entry'!Y86)</f>
        <v>251</v>
      </c>
      <c r="M65" s="83">
        <f>IF('Energy Data Entry'!F86+'Energy Data Entry'!K86+'Energy Data Entry'!P86++'Energy Data Entry'!U86+'Energy Data Entry'!Z86=0,"",'Energy Data Entry'!F86+'Energy Data Entry'!K86+'Energy Data Entry'!P86++'Energy Data Entry'!U86+'Energy Data Entry'!Z86)</f>
        <v>251</v>
      </c>
      <c r="N65" s="85">
        <f>IF('Energy Data Entry'!G86+'Energy Data Entry'!L86+'Energy Data Entry'!Q86+'Energy Data Entry'!V86+'Energy Data Entry'!AA86=0,"",'Energy Data Entry'!G86+'Energy Data Entry'!L86+'Energy Data Entry'!Q86+'Energy Data Entry'!V86+'Energy Data Entry'!AA86)</f>
        <v>3012</v>
      </c>
      <c r="O65" s="85">
        <f>IF('Energy Data Entry'!D86+'Energy Data Entry'!I86+'Energy Data Entry'!N86+'Energy Data Entry'!S86+'Energy Data Entry'!X86=0,"",'Energy Data Entry'!D86+'Energy Data Entry'!I86+'Energy Data Entry'!N86+'Energy Data Entry'!S86+'Energy Data Entry'!X86)</f>
        <v>12411.585000000001</v>
      </c>
      <c r="P65" s="403">
        <f>'Energy Data Entry'!AF86</f>
        <v>0</v>
      </c>
      <c r="Q65" s="151">
        <f>_xlfn.IFERROR(Table4[[#This Row],[Total electric cost]]/Table4[[#This Row],[Electric kWh usage]],"")</f>
        <v>0.08582857913407879</v>
      </c>
      <c r="R65" s="151">
        <f>_xlfn.IFERROR(Table4[[#This Row],[Electric Demand Cost]]/Table4[[#This Row],[Total Electric Demand (Billed)]],_xlfn.IFERROR(Table4[[#This Row],[Electric Demand Cost]]/Table4[[#This Row],[Total Electric Demand (Actual)]],""))</f>
        <v>12</v>
      </c>
      <c r="S65" s="85">
        <f>_xlfn.IFERROR(Table4[[#This Row],[Total Gas cost]]+Table4[[#This Row],[Total electric cost]],"")</f>
        <v>12411.585000000001</v>
      </c>
      <c r="T65" s="111"/>
      <c r="U65" s="85">
        <f>_xlfn.IFERROR(Table4[[#This Row],[Total Energy Cost]]/Table4[[#This Row],[Monthly Flow]],"")</f>
        <v>169.64987698195736</v>
      </c>
      <c r="V65" s="85">
        <f>_xlfn.IFERROR(Table4[[#This Row],[Total Energy Cost]]/Table4[[#This Row],[Total BOD removed]],"")</f>
        <v>0.1177182399788207</v>
      </c>
      <c r="W65" s="116"/>
      <c r="X65" s="86">
        <f>IF('Process Data Entry'!G67="","",'Process Data Entry'!G67)</f>
        <v>32</v>
      </c>
      <c r="Y65" s="86">
        <f>IF('Process Data Entry'!H67="","",'Process Data Entry'!H67)</f>
        <v>14</v>
      </c>
      <c r="Z65" s="86">
        <f>IF('Process Data Entry'!I67="",0,'Process Data Entry'!I67)</f>
        <v>0</v>
      </c>
      <c r="AA65" s="86">
        <f>IF('Process Data Entry'!J67="","",'Process Data Entry'!J67)</f>
        <v>3.3</v>
      </c>
      <c r="AB65" s="86">
        <f>IF('Process Data Entry'!K67="","",'Process Data Entry'!K67)</f>
        <v>0.9</v>
      </c>
      <c r="AC65" s="86">
        <f>IF('Process Data Entry'!L67="","",'Process Data Entry'!L67)</f>
        <v>8.6</v>
      </c>
      <c r="AD65" s="87">
        <f t="shared" si="3"/>
        <v>20.1</v>
      </c>
      <c r="AE65" s="87">
        <f t="shared" si="4"/>
        <v>12264.10344</v>
      </c>
      <c r="AF65" s="150">
        <f>IF('Process Data Entry'!M67="","",'Process Data Entry'!M67)</f>
        <v>9.1</v>
      </c>
      <c r="AG65" s="150">
        <f>IF('Process Data Entry'!N67="","",'Process Data Entry'!N67)</f>
        <v>1</v>
      </c>
      <c r="AH65" s="81">
        <f t="shared" si="5"/>
        <v>4942.25064</v>
      </c>
    </row>
    <row r="66" spans="1:34" ht="15">
      <c r="A66" s="78">
        <v>6</v>
      </c>
      <c r="B66" s="88">
        <f>'Energy Data Entry'!B87</f>
        <v>44075</v>
      </c>
      <c r="C66" s="80">
        <f>IF(OR('Process Data Entry'!C68="",'Process Data Entry'!C68=0),"",'Process Data Entry'!C68)</f>
        <v>2.12</v>
      </c>
      <c r="D66" s="81">
        <f>IF(Table4[[#This Row],[Avg Daily Flow]]="","",_xlfn.DAYS(EOMONTH(B66,0),EOMONTH(B66,-1))*C66)</f>
        <v>63.6</v>
      </c>
      <c r="E66" s="81">
        <f>IF('Process Data Entry'!F68="","",'Process Data Entry'!F68)</f>
        <v>2853.68112</v>
      </c>
      <c r="F66" s="82">
        <f>IF(Table4[[#This Row],[BOD removed]]="","",Table4[[#This Row],[BOD removed]]*_xlfn.DAYS(EOMONTH(Table4[[#This Row],[Column2]],0),EOMONTH(Table4[[#This Row],[Column2]],-1)))</f>
        <v>85610.4336</v>
      </c>
      <c r="G66" s="83">
        <f>IF(SUM('Energy Data Entry'!C87,'Energy Data Entry'!H87,'Energy Data Entry'!M87,'Energy Data Entry'!R87,'Energy Data Entry'!W87)=0,"",SUM('Energy Data Entry'!C87,'Energy Data Entry'!H87,'Energy Data Entry'!M87,'Energy Data Entry'!R87,'Energy Data Entry'!W87))</f>
        <v>161764</v>
      </c>
      <c r="H66" s="83">
        <f>'Energy Data Entry'!AG87</f>
        <v>0</v>
      </c>
      <c r="I66" s="83">
        <f>IF(Table4[[#This Row],[Electric kWh usage]]="","",Table4[[#This Row],[Gas kWh usage]]+Table4[[#This Row],[Electric kWh usage]])</f>
        <v>161764</v>
      </c>
      <c r="J66" s="82">
        <f>IF(OR(Table4[[#This Row],[Electric kWh usage]]="",Table4[[#This Row],[Monthly Flow]]=""),"",(Table4[[#This Row],[Electric kWh usage]]+Table4[[#This Row],[Gas kWh usage]])/Table4[[#This Row],[Monthly Flow]])</f>
        <v>2543.4591194968552</v>
      </c>
      <c r="K66" s="84">
        <f>_xlfn.IFERROR(IF(Table4[[#This Row],[Electric kWh usage]]="","",(Table4[[#This Row],[Electric kWh usage]]+Table4[[#This Row],[Gas kWh usage]])/Table4[[#This Row],[Total BOD removed]]),"")</f>
        <v>1.8895360436534454</v>
      </c>
      <c r="L66" s="83">
        <f>IF('Energy Data Entry'!E87+'Energy Data Entry'!J87+'Energy Data Entry'!O87+'Energy Data Entry'!T87+'Energy Data Entry'!Y87=0,"",'Energy Data Entry'!E87+'Energy Data Entry'!J87+'Energy Data Entry'!O87+'Energy Data Entry'!T87+'Energy Data Entry'!Y87)</f>
        <v>266</v>
      </c>
      <c r="M66" s="83">
        <f>IF('Energy Data Entry'!F87+'Energy Data Entry'!K87+'Energy Data Entry'!P87++'Energy Data Entry'!U87+'Energy Data Entry'!Z87=0,"",'Energy Data Entry'!F87+'Energy Data Entry'!K87+'Energy Data Entry'!P87++'Energy Data Entry'!U87+'Energy Data Entry'!Z87)</f>
        <v>266</v>
      </c>
      <c r="N66" s="85">
        <f>IF('Energy Data Entry'!G87+'Energy Data Entry'!L87+'Energy Data Entry'!Q87+'Energy Data Entry'!V87+'Energy Data Entry'!AA87=0,"",'Energy Data Entry'!G87+'Energy Data Entry'!L87+'Energy Data Entry'!Q87+'Energy Data Entry'!V87+'Energy Data Entry'!AA87)</f>
        <v>3192</v>
      </c>
      <c r="O66" s="85">
        <f>IF('Energy Data Entry'!D87+'Energy Data Entry'!I87+'Energy Data Entry'!N87+'Energy Data Entry'!S87+'Energy Data Entry'!X87=0,"",'Energy Data Entry'!D87+'Energy Data Entry'!I87+'Energy Data Entry'!N87+'Energy Data Entry'!S87+'Energy Data Entry'!X87)</f>
        <v>13706.66</v>
      </c>
      <c r="P66" s="403">
        <f>'Energy Data Entry'!AF87</f>
        <v>0</v>
      </c>
      <c r="Q66" s="151">
        <f>_xlfn.IFERROR(Table4[[#This Row],[Total electric cost]]/Table4[[#This Row],[Electric kWh usage]],"")</f>
        <v>0.08473244974159887</v>
      </c>
      <c r="R66" s="151">
        <f>_xlfn.IFERROR(Table4[[#This Row],[Electric Demand Cost]]/Table4[[#This Row],[Total Electric Demand (Billed)]],_xlfn.IFERROR(Table4[[#This Row],[Electric Demand Cost]]/Table4[[#This Row],[Total Electric Demand (Actual)]],""))</f>
        <v>12</v>
      </c>
      <c r="S66" s="85">
        <f>_xlfn.IFERROR(Table4[[#This Row],[Total Gas cost]]+Table4[[#This Row],[Total electric cost]],"")</f>
        <v>13706.66</v>
      </c>
      <c r="T66" s="111"/>
      <c r="U66" s="85">
        <f>_xlfn.IFERROR(Table4[[#This Row],[Total Energy Cost]]/Table4[[#This Row],[Monthly Flow]],"")</f>
        <v>215.51352201257862</v>
      </c>
      <c r="V66" s="85">
        <f>_xlfn.IFERROR(Table4[[#This Row],[Total Energy Cost]]/Table4[[#This Row],[Total BOD removed]],"")</f>
        <v>0.16010501785380513</v>
      </c>
      <c r="W66" s="116"/>
      <c r="X66" s="86">
        <f>IF('Process Data Entry'!G68="","",'Process Data Entry'!G68)</f>
        <v>37</v>
      </c>
      <c r="Y66" s="86">
        <f>IF('Process Data Entry'!H68="","",'Process Data Entry'!H68)</f>
        <v>14</v>
      </c>
      <c r="Z66" s="86">
        <f>IF('Process Data Entry'!I68="",0,'Process Data Entry'!I68)</f>
        <v>0</v>
      </c>
      <c r="AA66" s="86">
        <f>IF('Process Data Entry'!J68="","",'Process Data Entry'!J68)</f>
        <v>3</v>
      </c>
      <c r="AB66" s="86">
        <f>IF('Process Data Entry'!K68="","",'Process Data Entry'!K68)</f>
        <v>1.2</v>
      </c>
      <c r="AC66" s="86">
        <f>IF('Process Data Entry'!L68="","",'Process Data Entry'!L68)</f>
        <v>9.6</v>
      </c>
      <c r="AD66" s="87">
        <f t="shared" si="3"/>
        <v>24.4</v>
      </c>
      <c r="AE66" s="87">
        <f t="shared" si="4"/>
        <v>12942.345599999999</v>
      </c>
      <c r="AF66" s="150">
        <f>IF('Process Data Entry'!M68="","",'Process Data Entry'!M68)</f>
        <v>8.3</v>
      </c>
      <c r="AG66" s="150">
        <f>IF('Process Data Entry'!N68="","",'Process Data Entry'!N68)</f>
        <v>1.1</v>
      </c>
      <c r="AH66" s="81">
        <f t="shared" si="5"/>
        <v>3819.0528000000004</v>
      </c>
    </row>
    <row r="67" spans="1:34" ht="15">
      <c r="A67" s="78">
        <v>6</v>
      </c>
      <c r="B67" s="88">
        <f>'Energy Data Entry'!B88</f>
        <v>44105</v>
      </c>
      <c r="C67" s="80">
        <f>IF(OR('Process Data Entry'!C69="",'Process Data Entry'!C69=0),"",'Process Data Entry'!C69)</f>
        <v>1.72</v>
      </c>
      <c r="D67" s="81">
        <f>IF(Table4[[#This Row],[Avg Daily Flow]]="","",_xlfn.DAYS(EOMONTH(B67,0),EOMONTH(B67,-1))*C67)</f>
        <v>53.32</v>
      </c>
      <c r="E67" s="81">
        <f>IF('Process Data Entry'!F69="","",'Process Data Entry'!F69)</f>
        <v>2546.9192399999997</v>
      </c>
      <c r="F67" s="82">
        <f>IF(Table4[[#This Row],[BOD removed]]="","",Table4[[#This Row],[BOD removed]]*_xlfn.DAYS(EOMONTH(Table4[[#This Row],[Column2]],0),EOMONTH(Table4[[#This Row],[Column2]],-1)))</f>
        <v>78954.49643999999</v>
      </c>
      <c r="G67" s="83">
        <f>IF(SUM('Energy Data Entry'!C88,'Energy Data Entry'!H88,'Energy Data Entry'!M88,'Energy Data Entry'!R88,'Energy Data Entry'!W88)=0,"",SUM('Energy Data Entry'!C88,'Energy Data Entry'!H88,'Energy Data Entry'!M88,'Energy Data Entry'!R88,'Energy Data Entry'!W88))</f>
        <v>167363</v>
      </c>
      <c r="H67" s="83">
        <f>'Energy Data Entry'!AG88</f>
        <v>0</v>
      </c>
      <c r="I67" s="83">
        <f>IF(Table4[[#This Row],[Electric kWh usage]]="","",Table4[[#This Row],[Gas kWh usage]]+Table4[[#This Row],[Electric kWh usage]])</f>
        <v>167363</v>
      </c>
      <c r="J67" s="82">
        <f>IF(OR(Table4[[#This Row],[Electric kWh usage]]="",Table4[[#This Row],[Monthly Flow]]=""),"",(Table4[[#This Row],[Electric kWh usage]]+Table4[[#This Row],[Gas kWh usage]])/Table4[[#This Row],[Monthly Flow]])</f>
        <v>3138.84096024006</v>
      </c>
      <c r="K67" s="84">
        <f>_xlfn.IFERROR(IF(Table4[[#This Row],[Electric kWh usage]]="","",(Table4[[#This Row],[Electric kWh usage]]+Table4[[#This Row],[Gas kWh usage]])/Table4[[#This Row],[Total BOD removed]]),"")</f>
        <v>2.119739945744375</v>
      </c>
      <c r="L67" s="83">
        <f>IF('Energy Data Entry'!E88+'Energy Data Entry'!J88+'Energy Data Entry'!O88+'Energy Data Entry'!T88+'Energy Data Entry'!Y88=0,"",'Energy Data Entry'!E88+'Energy Data Entry'!J88+'Energy Data Entry'!O88+'Energy Data Entry'!T88+'Energy Data Entry'!Y88)</f>
        <v>300</v>
      </c>
      <c r="M67" s="83">
        <f>IF('Energy Data Entry'!F88+'Energy Data Entry'!K88+'Energy Data Entry'!P88++'Energy Data Entry'!U88+'Energy Data Entry'!Z88=0,"",'Energy Data Entry'!F88+'Energy Data Entry'!K88+'Energy Data Entry'!P88++'Energy Data Entry'!U88+'Energy Data Entry'!Z88)</f>
        <v>300</v>
      </c>
      <c r="N67" s="85">
        <f>IF('Energy Data Entry'!G88+'Energy Data Entry'!L88+'Energy Data Entry'!Q88+'Energy Data Entry'!V88+'Energy Data Entry'!AA88=0,"",'Energy Data Entry'!G88+'Energy Data Entry'!L88+'Energy Data Entry'!Q88+'Energy Data Entry'!V88+'Energy Data Entry'!AA88)</f>
        <v>3600</v>
      </c>
      <c r="O67" s="85">
        <f>IF('Energy Data Entry'!D88+'Energy Data Entry'!I88+'Energy Data Entry'!N88+'Energy Data Entry'!S88+'Energy Data Entry'!X88=0,"",'Energy Data Entry'!D88+'Energy Data Entry'!I88+'Energy Data Entry'!N88+'Energy Data Entry'!S88+'Energy Data Entry'!X88)</f>
        <v>14478.595000000001</v>
      </c>
      <c r="P67" s="403">
        <f>'Energy Data Entry'!AF88</f>
        <v>0</v>
      </c>
      <c r="Q67" s="151">
        <f>_xlfn.IFERROR(Table4[[#This Row],[Total electric cost]]/Table4[[#This Row],[Electric kWh usage]],"")</f>
        <v>0.08651013067404385</v>
      </c>
      <c r="R67" s="151">
        <f>_xlfn.IFERROR(Table4[[#This Row],[Electric Demand Cost]]/Table4[[#This Row],[Total Electric Demand (Billed)]],_xlfn.IFERROR(Table4[[#This Row],[Electric Demand Cost]]/Table4[[#This Row],[Total Electric Demand (Actual)]],""))</f>
        <v>12</v>
      </c>
      <c r="S67" s="85">
        <f>_xlfn.IFERROR(Table4[[#This Row],[Total Gas cost]]+Table4[[#This Row],[Total electric cost]],"")</f>
        <v>14478.595000000001</v>
      </c>
      <c r="T67" s="111"/>
      <c r="U67" s="85">
        <f>_xlfn.IFERROR(Table4[[#This Row],[Total Energy Cost]]/Table4[[#This Row],[Monthly Flow]],"")</f>
        <v>271.54154163540886</v>
      </c>
      <c r="V67" s="85">
        <f>_xlfn.IFERROR(Table4[[#This Row],[Total Energy Cost]]/Table4[[#This Row],[Total BOD removed]],"")</f>
        <v>0.1833789797013365</v>
      </c>
      <c r="W67" s="116"/>
      <c r="X67" s="86">
        <f>IF('Process Data Entry'!G69="","",'Process Data Entry'!G69)</f>
        <v>30</v>
      </c>
      <c r="Y67" s="86">
        <f>IF('Process Data Entry'!H69="","",'Process Data Entry'!H69)</f>
        <v>12</v>
      </c>
      <c r="Z67" s="86">
        <f>IF('Process Data Entry'!I69="",0,'Process Data Entry'!I69)</f>
        <v>0</v>
      </c>
      <c r="AA67" s="86">
        <f>IF('Process Data Entry'!J69="","",'Process Data Entry'!J69)</f>
        <v>2.7</v>
      </c>
      <c r="AB67" s="86">
        <f>IF('Process Data Entry'!K69="","",'Process Data Entry'!K69)</f>
        <v>1.6</v>
      </c>
      <c r="AC67" s="86">
        <f>IF('Process Data Entry'!L69="","",'Process Data Entry'!L69)</f>
        <v>8.2</v>
      </c>
      <c r="AD67" s="87">
        <f t="shared" si="3"/>
        <v>19.1</v>
      </c>
      <c r="AE67" s="87">
        <f t="shared" si="4"/>
        <v>8493.55608</v>
      </c>
      <c r="AF67" s="150">
        <f>IF('Process Data Entry'!M69="","",'Process Data Entry'!M69)</f>
        <v>8.6</v>
      </c>
      <c r="AG67" s="150">
        <f>IF('Process Data Entry'!N69="","",'Process Data Entry'!N69)</f>
        <v>0.9</v>
      </c>
      <c r="AH67" s="81">
        <f t="shared" si="5"/>
        <v>3424.10376</v>
      </c>
    </row>
    <row r="68" spans="1:34" ht="15">
      <c r="A68" s="78">
        <v>6</v>
      </c>
      <c r="B68" s="88">
        <f>'Energy Data Entry'!B89</f>
        <v>44136</v>
      </c>
      <c r="C68" s="80">
        <f>IF(OR('Process Data Entry'!C70="",'Process Data Entry'!C70=0),"",'Process Data Entry'!C70)</f>
        <v>1.6400000000000001</v>
      </c>
      <c r="D68" s="81">
        <f>IF(Table4[[#This Row],[Avg Daily Flow]]="","",_xlfn.DAYS(EOMONTH(B68,0),EOMONTH(B68,-1))*C68)</f>
        <v>49.2</v>
      </c>
      <c r="E68" s="81">
        <f>IF('Process Data Entry'!F70="","",'Process Data Entry'!F70)</f>
        <v>2009.9233199999999</v>
      </c>
      <c r="F68" s="82">
        <f>IF(Table4[[#This Row],[BOD removed]]="","",Table4[[#This Row],[BOD removed]]*_xlfn.DAYS(EOMONTH(Table4[[#This Row],[Column2]],0),EOMONTH(Table4[[#This Row],[Column2]],-1)))</f>
        <v>60297.69959999999</v>
      </c>
      <c r="G68" s="83">
        <f>IF(SUM('Energy Data Entry'!C89,'Energy Data Entry'!H89,'Energy Data Entry'!M89,'Energy Data Entry'!R89,'Energy Data Entry'!W89)=0,"",SUM('Energy Data Entry'!C89,'Energy Data Entry'!H89,'Energy Data Entry'!M89,'Energy Data Entry'!R89,'Energy Data Entry'!W89))</f>
        <v>130176</v>
      </c>
      <c r="H68" s="83">
        <f>'Energy Data Entry'!AG89</f>
        <v>0</v>
      </c>
      <c r="I68" s="83">
        <f>IF(Table4[[#This Row],[Electric kWh usage]]="","",Table4[[#This Row],[Gas kWh usage]]+Table4[[#This Row],[Electric kWh usage]])</f>
        <v>130176</v>
      </c>
      <c r="J68" s="82">
        <f>IF(OR(Table4[[#This Row],[Electric kWh usage]]="",Table4[[#This Row],[Monthly Flow]]=""),"",(Table4[[#This Row],[Electric kWh usage]]+Table4[[#This Row],[Gas kWh usage]])/Table4[[#This Row],[Monthly Flow]])</f>
        <v>2645.853658536585</v>
      </c>
      <c r="K68" s="84">
        <f>_xlfn.IFERROR(IF(Table4[[#This Row],[Electric kWh usage]]="","",(Table4[[#This Row],[Electric kWh usage]]+Table4[[#This Row],[Gas kWh usage]])/Table4[[#This Row],[Total BOD removed]]),"")</f>
        <v>2.1588883301279376</v>
      </c>
      <c r="L68" s="83">
        <f>IF('Energy Data Entry'!E89+'Energy Data Entry'!J89+'Energy Data Entry'!O89+'Energy Data Entry'!T89+'Energy Data Entry'!Y89=0,"",'Energy Data Entry'!E89+'Energy Data Entry'!J89+'Energy Data Entry'!O89+'Energy Data Entry'!T89+'Energy Data Entry'!Y89)</f>
        <v>210</v>
      </c>
      <c r="M68" s="83">
        <f>IF('Energy Data Entry'!F89+'Energy Data Entry'!K89+'Energy Data Entry'!P89++'Energy Data Entry'!U89+'Energy Data Entry'!Z89=0,"",'Energy Data Entry'!F89+'Energy Data Entry'!K89+'Energy Data Entry'!P89++'Energy Data Entry'!U89+'Energy Data Entry'!Z89)</f>
        <v>219</v>
      </c>
      <c r="N68" s="85">
        <f>IF('Energy Data Entry'!G89+'Energy Data Entry'!L89+'Energy Data Entry'!Q89+'Energy Data Entry'!V89+'Energy Data Entry'!AA89=0,"",'Energy Data Entry'!G89+'Energy Data Entry'!L89+'Energy Data Entry'!Q89+'Energy Data Entry'!V89+'Energy Data Entry'!AA89)</f>
        <v>2628</v>
      </c>
      <c r="O68" s="85">
        <f>IF('Energy Data Entry'!D89+'Energy Data Entry'!I89+'Energy Data Entry'!N89+'Energy Data Entry'!S89+'Energy Data Entry'!X89=0,"",'Energy Data Entry'!D89+'Energy Data Entry'!I89+'Energy Data Entry'!N89+'Energy Data Entry'!S89+'Energy Data Entry'!X89)</f>
        <v>11089.44</v>
      </c>
      <c r="P68" s="403">
        <f>'Energy Data Entry'!AF89</f>
        <v>0</v>
      </c>
      <c r="Q68" s="151">
        <f>_xlfn.IFERROR(Table4[[#This Row],[Total electric cost]]/Table4[[#This Row],[Electric kWh usage]],"")</f>
        <v>0.08518805309734513</v>
      </c>
      <c r="R68" s="151">
        <f>_xlfn.IFERROR(Table4[[#This Row],[Electric Demand Cost]]/Table4[[#This Row],[Total Electric Demand (Billed)]],_xlfn.IFERROR(Table4[[#This Row],[Electric Demand Cost]]/Table4[[#This Row],[Total Electric Demand (Actual)]],""))</f>
        <v>12</v>
      </c>
      <c r="S68" s="85">
        <f>_xlfn.IFERROR(Table4[[#This Row],[Total Gas cost]]+Table4[[#This Row],[Total electric cost]],"")</f>
        <v>11089.44</v>
      </c>
      <c r="T68" s="111"/>
      <c r="U68" s="85">
        <f>_xlfn.IFERROR(Table4[[#This Row],[Total Energy Cost]]/Table4[[#This Row],[Monthly Flow]],"")</f>
        <v>225.39512195121952</v>
      </c>
      <c r="V68" s="85">
        <f>_xlfn.IFERROR(Table4[[#This Row],[Total Energy Cost]]/Table4[[#This Row],[Total BOD removed]],"")</f>
        <v>0.18391149369817753</v>
      </c>
      <c r="W68" s="116"/>
      <c r="X68" s="86">
        <f>IF('Process Data Entry'!G70="","",'Process Data Entry'!G70)</f>
        <v>38</v>
      </c>
      <c r="Y68" s="86">
        <f>IF('Process Data Entry'!H70="","",'Process Data Entry'!H70)</f>
        <v>13</v>
      </c>
      <c r="Z68" s="86">
        <f>IF('Process Data Entry'!I70="",0,'Process Data Entry'!I70)</f>
        <v>0</v>
      </c>
      <c r="AA68" s="86">
        <f>IF('Process Data Entry'!J70="","",'Process Data Entry'!J70)</f>
        <v>3.3</v>
      </c>
      <c r="AB68" s="86">
        <f>IF('Process Data Entry'!K70="","",'Process Data Entry'!K70)</f>
        <v>1.2</v>
      </c>
      <c r="AC68" s="86">
        <f>IF('Process Data Entry'!L70="","",'Process Data Entry'!L70)</f>
        <v>7.4</v>
      </c>
      <c r="AD68" s="87">
        <f aca="true" t="shared" si="6" ref="AD68:AD87">_xlfn.IFERROR(IF(OR(X68="",AC68="",AND(AA68="",AB68=""),((X68+Z68)-(MAX(AA68,AB68)+AC68))&lt;0),"",(X68+Z68)-(MAX(AA68,AB68)+AC68)),"")</f>
        <v>27.3</v>
      </c>
      <c r="AE68" s="87">
        <f aca="true" t="shared" si="7" ref="AE68:AE87">IF(OR(AD68="",D68=""),"",AD68*D68*8.34)</f>
        <v>11201.9544</v>
      </c>
      <c r="AF68" s="150">
        <f>IF('Process Data Entry'!M70="","",'Process Data Entry'!M70)</f>
        <v>7.8</v>
      </c>
      <c r="AG68" s="150">
        <f>IF('Process Data Entry'!N70="","",'Process Data Entry'!N70)</f>
        <v>1.4</v>
      </c>
      <c r="AH68" s="81">
        <f aca="true" t="shared" si="8" ref="AH68:AH87">IF(OR(AF68="",AG68="",D68=""),"",8.34*D68*(AF68-AG68))</f>
        <v>2626.0992000000006</v>
      </c>
    </row>
    <row r="69" spans="1:34" ht="15">
      <c r="A69" s="78">
        <v>6</v>
      </c>
      <c r="B69" s="88">
        <f>'Energy Data Entry'!B90</f>
        <v>44166</v>
      </c>
      <c r="C69" s="80">
        <f>IF(OR('Process Data Entry'!C71="",'Process Data Entry'!C71=0),"",'Process Data Entry'!C71)</f>
        <v>2.12</v>
      </c>
      <c r="D69" s="81">
        <f>IF(Table4[[#This Row],[Avg Daily Flow]]="","",_xlfn.DAYS(EOMONTH(B69,0),EOMONTH(B69,-1))*C69)</f>
        <v>65.72</v>
      </c>
      <c r="E69" s="81">
        <f>IF('Process Data Entry'!F71="","",'Process Data Entry'!F71)</f>
        <v>3888.0079200000005</v>
      </c>
      <c r="F69" s="82">
        <f>IF(Table4[[#This Row],[BOD removed]]="","",Table4[[#This Row],[BOD removed]]*_xlfn.DAYS(EOMONTH(Table4[[#This Row],[Column2]],0),EOMONTH(Table4[[#This Row],[Column2]],-1)))</f>
        <v>120528.24552000001</v>
      </c>
      <c r="G69" s="83">
        <f>IF(SUM('Energy Data Entry'!C90,'Energy Data Entry'!H90,'Energy Data Entry'!M90,'Energy Data Entry'!R90,'Energy Data Entry'!W90)=0,"",SUM('Energy Data Entry'!C90,'Energy Data Entry'!H90,'Energy Data Entry'!M90,'Energy Data Entry'!R90,'Energy Data Entry'!W90))</f>
        <v>129469</v>
      </c>
      <c r="H69" s="83">
        <f>'Energy Data Entry'!AG90</f>
        <v>0</v>
      </c>
      <c r="I69" s="83">
        <f>IF(Table4[[#This Row],[Electric kWh usage]]="","",Table4[[#This Row],[Gas kWh usage]]+Table4[[#This Row],[Electric kWh usage]])</f>
        <v>129469</v>
      </c>
      <c r="J69" s="82">
        <f>IF(OR(Table4[[#This Row],[Electric kWh usage]]="",Table4[[#This Row],[Monthly Flow]]=""),"",(Table4[[#This Row],[Electric kWh usage]]+Table4[[#This Row],[Gas kWh usage]])/Table4[[#This Row],[Monthly Flow]])</f>
        <v>1970.009129640901</v>
      </c>
      <c r="K69" s="84">
        <f>_xlfn.IFERROR(IF(Table4[[#This Row],[Electric kWh usage]]="","",(Table4[[#This Row],[Electric kWh usage]]+Table4[[#This Row],[Gas kWh usage]])/Table4[[#This Row],[Total BOD removed]]),"")</f>
        <v>1.0741797446849617</v>
      </c>
      <c r="L69" s="83">
        <f>IF('Energy Data Entry'!E90+'Energy Data Entry'!J90+'Energy Data Entry'!O90+'Energy Data Entry'!T90+'Energy Data Entry'!Y90=0,"",'Energy Data Entry'!E90+'Energy Data Entry'!J90+'Energy Data Entry'!O90+'Energy Data Entry'!T90+'Energy Data Entry'!Y90)</f>
        <v>213</v>
      </c>
      <c r="M69" s="83">
        <f>IF('Energy Data Entry'!F90+'Energy Data Entry'!K90+'Energy Data Entry'!P90++'Energy Data Entry'!U90+'Energy Data Entry'!Z90=0,"",'Energy Data Entry'!F90+'Energy Data Entry'!K90+'Energy Data Entry'!P90++'Energy Data Entry'!U90+'Energy Data Entry'!Z90)</f>
        <v>219</v>
      </c>
      <c r="N69" s="85">
        <f>IF('Energy Data Entry'!G90+'Energy Data Entry'!L90+'Energy Data Entry'!Q90+'Energy Data Entry'!V90+'Energy Data Entry'!AA90=0,"",'Energy Data Entry'!G90+'Energy Data Entry'!L90+'Energy Data Entry'!Q90+'Energy Data Entry'!V90+'Energy Data Entry'!AA90)</f>
        <v>2628</v>
      </c>
      <c r="O69" s="85">
        <f>IF('Energy Data Entry'!D90+'Energy Data Entry'!I90+'Energy Data Entry'!N90+'Energy Data Entry'!S90+'Energy Data Entry'!X90=0,"",'Energy Data Entry'!D90+'Energy Data Entry'!I90+'Energy Data Entry'!N90+'Energy Data Entry'!S90+'Energy Data Entry'!X90)</f>
        <v>12338.175</v>
      </c>
      <c r="P69" s="403">
        <f>'Energy Data Entry'!AF90</f>
        <v>0</v>
      </c>
      <c r="Q69" s="151">
        <f>_xlfn.IFERROR(Table4[[#This Row],[Total electric cost]]/Table4[[#This Row],[Electric kWh usage]],"")</f>
        <v>0.09529829534483157</v>
      </c>
      <c r="R69" s="151">
        <f>_xlfn.IFERROR(Table4[[#This Row],[Electric Demand Cost]]/Table4[[#This Row],[Total Electric Demand (Billed)]],_xlfn.IFERROR(Table4[[#This Row],[Electric Demand Cost]]/Table4[[#This Row],[Total Electric Demand (Actual)]],""))</f>
        <v>12</v>
      </c>
      <c r="S69" s="85">
        <f>_xlfn.IFERROR(Table4[[#This Row],[Total Gas cost]]+Table4[[#This Row],[Total electric cost]],"")</f>
        <v>12338.175</v>
      </c>
      <c r="T69" s="111"/>
      <c r="U69" s="85">
        <f>_xlfn.IFERROR(Table4[[#This Row],[Total Energy Cost]]/Table4[[#This Row],[Monthly Flow]],"")</f>
        <v>187.73851186853315</v>
      </c>
      <c r="V69" s="85">
        <f>_xlfn.IFERROR(Table4[[#This Row],[Total Energy Cost]]/Table4[[#This Row],[Total BOD removed]],"")</f>
        <v>0.10236749856242326</v>
      </c>
      <c r="W69" s="116"/>
      <c r="X69" s="86">
        <f>IF('Process Data Entry'!G71="","",'Process Data Entry'!G71)</f>
        <v>32</v>
      </c>
      <c r="Y69" s="86">
        <f>IF('Process Data Entry'!H71="","",'Process Data Entry'!H71)</f>
        <v>15</v>
      </c>
      <c r="Z69" s="86">
        <f>IF('Process Data Entry'!I71="",0,'Process Data Entry'!I71)</f>
        <v>0</v>
      </c>
      <c r="AA69" s="86">
        <f>IF('Process Data Entry'!J71="","",'Process Data Entry'!J71)</f>
        <v>3.2</v>
      </c>
      <c r="AB69" s="86">
        <f>IF('Process Data Entry'!K71="","",'Process Data Entry'!K71)</f>
        <v>1.5</v>
      </c>
      <c r="AC69" s="86">
        <f>IF('Process Data Entry'!L71="","",'Process Data Entry'!L71)</f>
        <v>9.5</v>
      </c>
      <c r="AD69" s="87">
        <f t="shared" si="6"/>
        <v>19.3</v>
      </c>
      <c r="AE69" s="87">
        <f t="shared" si="7"/>
        <v>10578.422639999999</v>
      </c>
      <c r="AF69" s="150">
        <f>IF('Process Data Entry'!M71="","",'Process Data Entry'!M71)</f>
        <v>8.2</v>
      </c>
      <c r="AG69" s="150">
        <f>IF('Process Data Entry'!N71="","",'Process Data Entry'!N71)</f>
        <v>1.4</v>
      </c>
      <c r="AH69" s="81">
        <f t="shared" si="8"/>
        <v>3727.112639999999</v>
      </c>
    </row>
    <row r="70" spans="1:34" ht="15">
      <c r="A70" s="78">
        <v>6</v>
      </c>
      <c r="B70" s="88">
        <f>'Energy Data Entry'!B91</f>
        <v>44197</v>
      </c>
      <c r="C70" s="80">
        <f>IF(OR('Process Data Entry'!C72="",'Process Data Entry'!C72=0),"",'Process Data Entry'!C72)</f>
        <v>1.78</v>
      </c>
      <c r="D70" s="81">
        <f>IF(Table4[[#This Row],[Avg Daily Flow]]="","",_xlfn.DAYS(EOMONTH(B70,0),EOMONTH(B70,-1))*C70)</f>
        <v>55.18</v>
      </c>
      <c r="E70" s="81">
        <f>IF('Process Data Entry'!F72="","",'Process Data Entry'!F72)</f>
        <v>2211.9348</v>
      </c>
      <c r="F70" s="82">
        <f>IF(Table4[[#This Row],[BOD removed]]="","",Table4[[#This Row],[BOD removed]]*_xlfn.DAYS(EOMONTH(Table4[[#This Row],[Column2]],0),EOMONTH(Table4[[#This Row],[Column2]],-1)))</f>
        <v>68569.9788</v>
      </c>
      <c r="G70" s="83">
        <f>IF(SUM('Energy Data Entry'!C91,'Energy Data Entry'!H91,'Energy Data Entry'!M91,'Energy Data Entry'!R91,'Energy Data Entry'!W91)=0,"",SUM('Energy Data Entry'!C91,'Energy Data Entry'!H91,'Energy Data Entry'!M91,'Energy Data Entry'!R91,'Energy Data Entry'!W91))</f>
        <v>137644</v>
      </c>
      <c r="H70" s="83">
        <f>'Energy Data Entry'!AG91</f>
        <v>0</v>
      </c>
      <c r="I70" s="83">
        <f>IF(Table4[[#This Row],[Electric kWh usage]]="","",Table4[[#This Row],[Gas kWh usage]]+Table4[[#This Row],[Electric kWh usage]])</f>
        <v>137644</v>
      </c>
      <c r="J70" s="82">
        <f>IF(OR(Table4[[#This Row],[Electric kWh usage]]="",Table4[[#This Row],[Monthly Flow]]=""),"",(Table4[[#This Row],[Electric kWh usage]]+Table4[[#This Row],[Gas kWh usage]])/Table4[[#This Row],[Monthly Flow]])</f>
        <v>2494.4545125045306</v>
      </c>
      <c r="K70" s="84">
        <f>_xlfn.IFERROR(IF(Table4[[#This Row],[Electric kWh usage]]="","",(Table4[[#This Row],[Electric kWh usage]]+Table4[[#This Row],[Gas kWh usage]])/Table4[[#This Row],[Total BOD removed]]),"")</f>
        <v>2.0073507737470675</v>
      </c>
      <c r="L70" s="83">
        <f>IF('Energy Data Entry'!E91+'Energy Data Entry'!J91+'Energy Data Entry'!O91+'Energy Data Entry'!T91+'Energy Data Entry'!Y91=0,"",'Energy Data Entry'!E91+'Energy Data Entry'!J91+'Energy Data Entry'!O91+'Energy Data Entry'!T91+'Energy Data Entry'!Y91)</f>
        <v>270</v>
      </c>
      <c r="M70" s="83">
        <f>IF('Energy Data Entry'!F91+'Energy Data Entry'!K91+'Energy Data Entry'!P91++'Energy Data Entry'!U91+'Energy Data Entry'!Z91=0,"",'Energy Data Entry'!F91+'Energy Data Entry'!K91+'Energy Data Entry'!P91++'Energy Data Entry'!U91+'Energy Data Entry'!Z91)</f>
        <v>270</v>
      </c>
      <c r="N70" s="85">
        <f>IF('Energy Data Entry'!G91+'Energy Data Entry'!L91+'Energy Data Entry'!Q91+'Energy Data Entry'!V91+'Energy Data Entry'!AA91=0,"",'Energy Data Entry'!G91+'Energy Data Entry'!L91+'Energy Data Entry'!Q91+'Energy Data Entry'!V91+'Energy Data Entry'!AA91)</f>
        <v>3240</v>
      </c>
      <c r="O70" s="85">
        <f>IF('Energy Data Entry'!D91+'Energy Data Entry'!I91+'Energy Data Entry'!N91+'Energy Data Entry'!S91+'Energy Data Entry'!X91=0,"",'Energy Data Entry'!D91+'Energy Data Entry'!I91+'Energy Data Entry'!N91+'Energy Data Entry'!S91+'Energy Data Entry'!X91)</f>
        <v>13563.3</v>
      </c>
      <c r="P70" s="403">
        <f>'Energy Data Entry'!AF91</f>
        <v>0</v>
      </c>
      <c r="Q70" s="151">
        <f>_xlfn.IFERROR(Table4[[#This Row],[Total electric cost]]/Table4[[#This Row],[Electric kWh usage]],"")</f>
        <v>0.0985389846270088</v>
      </c>
      <c r="R70" s="151">
        <f>_xlfn.IFERROR(Table4[[#This Row],[Electric Demand Cost]]/Table4[[#This Row],[Total Electric Demand (Billed)]],_xlfn.IFERROR(Table4[[#This Row],[Electric Demand Cost]]/Table4[[#This Row],[Total Electric Demand (Actual)]],""))</f>
        <v>12</v>
      </c>
      <c r="S70" s="85">
        <f>_xlfn.IFERROR(Table4[[#This Row],[Total Gas cost]]+Table4[[#This Row],[Total electric cost]],"")</f>
        <v>13563.3</v>
      </c>
      <c r="T70" s="111"/>
      <c r="U70" s="85">
        <f>_xlfn.IFERROR(Table4[[#This Row],[Total Energy Cost]]/Table4[[#This Row],[Monthly Flow]],"")</f>
        <v>245.8010148604567</v>
      </c>
      <c r="V70" s="85">
        <f>_xlfn.IFERROR(Table4[[#This Row],[Total Energy Cost]]/Table4[[#This Row],[Total BOD removed]],"")</f>
        <v>0.1978023070352765</v>
      </c>
      <c r="W70" s="116"/>
      <c r="X70" s="86">
        <f>IF('Process Data Entry'!G72="","",'Process Data Entry'!G72)</f>
        <v>38</v>
      </c>
      <c r="Y70" s="86">
        <f>IF('Process Data Entry'!H72="","",'Process Data Entry'!H72)</f>
        <v>17</v>
      </c>
      <c r="Z70" s="86">
        <f>IF('Process Data Entry'!I72="",0,'Process Data Entry'!I72)</f>
        <v>0</v>
      </c>
      <c r="AA70" s="86">
        <f>IF('Process Data Entry'!J72="","",'Process Data Entry'!J72)</f>
        <v>3.2</v>
      </c>
      <c r="AB70" s="86">
        <f>IF('Process Data Entry'!K72="","",'Process Data Entry'!K72)</f>
        <v>1.3</v>
      </c>
      <c r="AC70" s="86">
        <f>IF('Process Data Entry'!L72="","",'Process Data Entry'!L72)</f>
        <v>7.8</v>
      </c>
      <c r="AD70" s="87">
        <f t="shared" si="6"/>
        <v>27</v>
      </c>
      <c r="AE70" s="87">
        <f t="shared" si="7"/>
        <v>12425.4324</v>
      </c>
      <c r="AF70" s="150">
        <f>IF('Process Data Entry'!M72="","",'Process Data Entry'!M72)</f>
        <v>9.4</v>
      </c>
      <c r="AG70" s="150">
        <f>IF('Process Data Entry'!N72="","",'Process Data Entry'!N72)</f>
        <v>0.8</v>
      </c>
      <c r="AH70" s="81">
        <f t="shared" si="8"/>
        <v>3957.7303199999997</v>
      </c>
    </row>
    <row r="71" spans="1:34" ht="15">
      <c r="A71" s="78">
        <v>6</v>
      </c>
      <c r="B71" s="88">
        <f>'Energy Data Entry'!B92</f>
        <v>44228</v>
      </c>
      <c r="C71" s="80">
        <f>IF(OR('Process Data Entry'!C73="",'Process Data Entry'!C73=0),"",'Process Data Entry'!C73)</f>
        <v>2.04</v>
      </c>
      <c r="D71" s="81">
        <f>IF(Table4[[#This Row],[Avg Daily Flow]]="","",_xlfn.DAYS(EOMONTH(B71,0),EOMONTH(B71,-1))*C71)</f>
        <v>57.120000000000005</v>
      </c>
      <c r="E71" s="81">
        <f>IF('Process Data Entry'!F73="","",'Process Data Entry'!F73)</f>
        <v>2481.43356</v>
      </c>
      <c r="F71" s="82">
        <f>IF(Table4[[#This Row],[BOD removed]]="","",Table4[[#This Row],[BOD removed]]*_xlfn.DAYS(EOMONTH(Table4[[#This Row],[Column2]],0),EOMONTH(Table4[[#This Row],[Column2]],-1)))</f>
        <v>69480.13968</v>
      </c>
      <c r="G71" s="83">
        <f>IF(SUM('Energy Data Entry'!C92,'Energy Data Entry'!H92,'Energy Data Entry'!M92,'Energy Data Entry'!R92,'Energy Data Entry'!W92)=0,"",SUM('Energy Data Entry'!C92,'Energy Data Entry'!H92,'Energy Data Entry'!M92,'Energy Data Entry'!R92,'Energy Data Entry'!W92))</f>
        <v>103199</v>
      </c>
      <c r="H71" s="83">
        <f>'Energy Data Entry'!AG92</f>
        <v>0</v>
      </c>
      <c r="I71" s="83">
        <f>IF(Table4[[#This Row],[Electric kWh usage]]="","",Table4[[#This Row],[Gas kWh usage]]+Table4[[#This Row],[Electric kWh usage]])</f>
        <v>103199</v>
      </c>
      <c r="J71" s="82">
        <f>IF(OR(Table4[[#This Row],[Electric kWh usage]]="",Table4[[#This Row],[Monthly Flow]]=""),"",(Table4[[#This Row],[Electric kWh usage]]+Table4[[#This Row],[Gas kWh usage]])/Table4[[#This Row],[Monthly Flow]])</f>
        <v>1806.705182072829</v>
      </c>
      <c r="K71" s="84">
        <f>_xlfn.IFERROR(IF(Table4[[#This Row],[Electric kWh usage]]="","",(Table4[[#This Row],[Electric kWh usage]]+Table4[[#This Row],[Gas kWh usage]])/Table4[[#This Row],[Total BOD removed]]),"")</f>
        <v>1.485302137780619</v>
      </c>
      <c r="L71" s="83">
        <f>IF('Energy Data Entry'!E92+'Energy Data Entry'!J92+'Energy Data Entry'!O92+'Energy Data Entry'!T92+'Energy Data Entry'!Y92=0,"",'Energy Data Entry'!E92+'Energy Data Entry'!J92+'Energy Data Entry'!O92+'Energy Data Entry'!T92+'Energy Data Entry'!Y92)</f>
        <v>183</v>
      </c>
      <c r="M71" s="83">
        <f>IF('Energy Data Entry'!F92+'Energy Data Entry'!K92+'Energy Data Entry'!P92++'Energy Data Entry'!U92+'Energy Data Entry'!Z92=0,"",'Energy Data Entry'!F92+'Energy Data Entry'!K92+'Energy Data Entry'!P92++'Energy Data Entry'!U92+'Energy Data Entry'!Z92)</f>
        <v>219</v>
      </c>
      <c r="N71" s="85">
        <f>IF('Energy Data Entry'!G92+'Energy Data Entry'!L92+'Energy Data Entry'!Q92+'Energy Data Entry'!V92+'Energy Data Entry'!AA92=0,"",'Energy Data Entry'!G92+'Energy Data Entry'!L92+'Energy Data Entry'!Q92+'Energy Data Entry'!V92+'Energy Data Entry'!AA92)</f>
        <v>2628</v>
      </c>
      <c r="O71" s="85">
        <f>IF('Energy Data Entry'!D92+'Energy Data Entry'!I92+'Energy Data Entry'!N92+'Energy Data Entry'!S92+'Energy Data Entry'!X92=0,"",'Energy Data Entry'!D92+'Energy Data Entry'!I92+'Energy Data Entry'!N92+'Energy Data Entry'!S92+'Energy Data Entry'!X92)</f>
        <v>10367.925</v>
      </c>
      <c r="P71" s="403">
        <f>'Energy Data Entry'!AF92</f>
        <v>0</v>
      </c>
      <c r="Q71" s="151">
        <f>_xlfn.IFERROR(Table4[[#This Row],[Total electric cost]]/Table4[[#This Row],[Electric kWh usage]],"")</f>
        <v>0.10046536303646353</v>
      </c>
      <c r="R71" s="151">
        <f>_xlfn.IFERROR(Table4[[#This Row],[Electric Demand Cost]]/Table4[[#This Row],[Total Electric Demand (Billed)]],_xlfn.IFERROR(Table4[[#This Row],[Electric Demand Cost]]/Table4[[#This Row],[Total Electric Demand (Actual)]],""))</f>
        <v>12</v>
      </c>
      <c r="S71" s="85">
        <f>_xlfn.IFERROR(Table4[[#This Row],[Total Gas cost]]+Table4[[#This Row],[Total electric cost]],"")</f>
        <v>10367.925</v>
      </c>
      <c r="T71" s="111"/>
      <c r="U71" s="85">
        <f>_xlfn.IFERROR(Table4[[#This Row],[Total Energy Cost]]/Table4[[#This Row],[Monthly Flow]],"")</f>
        <v>181.5112920168067</v>
      </c>
      <c r="V71" s="85">
        <f>_xlfn.IFERROR(Table4[[#This Row],[Total Energy Cost]]/Table4[[#This Row],[Total BOD removed]],"")</f>
        <v>0.14922141849096524</v>
      </c>
      <c r="W71" s="116"/>
      <c r="X71" s="86">
        <f>IF('Process Data Entry'!G73="","",'Process Data Entry'!G73)</f>
        <v>32</v>
      </c>
      <c r="Y71" s="86">
        <f>IF('Process Data Entry'!H73="","",'Process Data Entry'!H73)</f>
        <v>16</v>
      </c>
      <c r="Z71" s="86">
        <f>IF('Process Data Entry'!I73="",0,'Process Data Entry'!I73)</f>
        <v>0</v>
      </c>
      <c r="AA71" s="86">
        <f>IF('Process Data Entry'!J73="","",'Process Data Entry'!J73)</f>
        <v>2.7</v>
      </c>
      <c r="AB71" s="86">
        <f>IF('Process Data Entry'!K73="","",'Process Data Entry'!K73)</f>
        <v>1.2</v>
      </c>
      <c r="AC71" s="86">
        <f>IF('Process Data Entry'!L73="","",'Process Data Entry'!L73)</f>
        <v>8.8</v>
      </c>
      <c r="AD71" s="87">
        <f t="shared" si="6"/>
        <v>20.5</v>
      </c>
      <c r="AE71" s="87">
        <f t="shared" si="7"/>
        <v>9765.8064</v>
      </c>
      <c r="AF71" s="150">
        <f>IF('Process Data Entry'!M73="","",'Process Data Entry'!M73)</f>
        <v>9</v>
      </c>
      <c r="AG71" s="150">
        <f>IF('Process Data Entry'!N73="","",'Process Data Entry'!N73)</f>
        <v>1.3</v>
      </c>
      <c r="AH71" s="81">
        <f t="shared" si="8"/>
        <v>3668.13216</v>
      </c>
    </row>
    <row r="72" spans="1:34" ht="15">
      <c r="A72" s="78">
        <v>6</v>
      </c>
      <c r="B72" s="88">
        <f>'Energy Data Entry'!B93</f>
        <v>44256</v>
      </c>
      <c r="C72" s="80">
        <f>IF(OR('Process Data Entry'!C74="",'Process Data Entry'!C74=0),"",'Process Data Entry'!C74)</f>
        <v>1.74</v>
      </c>
      <c r="D72" s="81">
        <f>IF(Table4[[#This Row],[Avg Daily Flow]]="","",_xlfn.DAYS(EOMONTH(B72,0),EOMONTH(B72,-1))*C72)</f>
        <v>53.94</v>
      </c>
      <c r="E72" s="81">
        <f>IF('Process Data Entry'!F74="","",'Process Data Entry'!F74)</f>
        <v>2818.8783000000003</v>
      </c>
      <c r="F72" s="82">
        <f>IF(Table4[[#This Row],[BOD removed]]="","",Table4[[#This Row],[BOD removed]]*_xlfn.DAYS(EOMONTH(Table4[[#This Row],[Column2]],0),EOMONTH(Table4[[#This Row],[Column2]],-1)))</f>
        <v>87385.22730000001</v>
      </c>
      <c r="G72" s="83">
        <f>IF(SUM('Energy Data Entry'!C93,'Energy Data Entry'!H93,'Energy Data Entry'!M93,'Energy Data Entry'!R93,'Energy Data Entry'!W93)=0,"",SUM('Energy Data Entry'!C93,'Energy Data Entry'!H93,'Energy Data Entry'!M93,'Energy Data Entry'!R93,'Energy Data Entry'!W93))</f>
        <v>150511</v>
      </c>
      <c r="H72" s="83">
        <f>'Energy Data Entry'!AG93</f>
        <v>0</v>
      </c>
      <c r="I72" s="83">
        <f>IF(Table4[[#This Row],[Electric kWh usage]]="","",Table4[[#This Row],[Gas kWh usage]]+Table4[[#This Row],[Electric kWh usage]])</f>
        <v>150511</v>
      </c>
      <c r="J72" s="82">
        <f>IF(OR(Table4[[#This Row],[Electric kWh usage]]="",Table4[[#This Row],[Monthly Flow]]=""),"",(Table4[[#This Row],[Electric kWh usage]]+Table4[[#This Row],[Gas kWh usage]])/Table4[[#This Row],[Monthly Flow]])</f>
        <v>2790.3411197626992</v>
      </c>
      <c r="K72" s="84">
        <f>_xlfn.IFERROR(IF(Table4[[#This Row],[Electric kWh usage]]="","",(Table4[[#This Row],[Electric kWh usage]]+Table4[[#This Row],[Gas kWh usage]])/Table4[[#This Row],[Total BOD removed]]),"")</f>
        <v>1.7223849459506981</v>
      </c>
      <c r="L72" s="83">
        <f>IF('Energy Data Entry'!E93+'Energy Data Entry'!J93+'Energy Data Entry'!O93+'Energy Data Entry'!T93+'Energy Data Entry'!Y93=0,"",'Energy Data Entry'!E93+'Energy Data Entry'!J93+'Energy Data Entry'!O93+'Energy Data Entry'!T93+'Energy Data Entry'!Y93)</f>
        <v>264</v>
      </c>
      <c r="M72" s="83">
        <f>IF('Energy Data Entry'!F93+'Energy Data Entry'!K93+'Energy Data Entry'!P93++'Energy Data Entry'!U93+'Energy Data Entry'!Z93=0,"",'Energy Data Entry'!F93+'Energy Data Entry'!K93+'Energy Data Entry'!P93++'Energy Data Entry'!U93+'Energy Data Entry'!Z93)</f>
        <v>264</v>
      </c>
      <c r="N72" s="85">
        <f>IF('Energy Data Entry'!G93+'Energy Data Entry'!L93+'Energy Data Entry'!Q93+'Energy Data Entry'!V93+'Energy Data Entry'!AA93=0,"",'Energy Data Entry'!G93+'Energy Data Entry'!L93+'Energy Data Entry'!Q93+'Energy Data Entry'!V93+'Energy Data Entry'!AA93)</f>
        <v>3168</v>
      </c>
      <c r="O72" s="85">
        <f>IF('Energy Data Entry'!D93+'Energy Data Entry'!I93+'Energy Data Entry'!N93+'Energy Data Entry'!S93+'Energy Data Entry'!X93=0,"",'Energy Data Entry'!D93+'Energy Data Entry'!I93+'Energy Data Entry'!N93+'Energy Data Entry'!S93+'Energy Data Entry'!X93)</f>
        <v>14456.324999999999</v>
      </c>
      <c r="P72" s="403">
        <f>'Energy Data Entry'!AF93</f>
        <v>0</v>
      </c>
      <c r="Q72" s="151">
        <f>_xlfn.IFERROR(Table4[[#This Row],[Total electric cost]]/Table4[[#This Row],[Electric kWh usage]],"")</f>
        <v>0.09604829547342054</v>
      </c>
      <c r="R72" s="151">
        <f>_xlfn.IFERROR(Table4[[#This Row],[Electric Demand Cost]]/Table4[[#This Row],[Total Electric Demand (Billed)]],_xlfn.IFERROR(Table4[[#This Row],[Electric Demand Cost]]/Table4[[#This Row],[Total Electric Demand (Actual)]],""))</f>
        <v>12</v>
      </c>
      <c r="S72" s="85">
        <f>_xlfn.IFERROR(Table4[[#This Row],[Total Gas cost]]+Table4[[#This Row],[Total electric cost]],"")</f>
        <v>14456.324999999999</v>
      </c>
      <c r="T72" s="111"/>
      <c r="U72" s="85">
        <f>_xlfn.IFERROR(Table4[[#This Row],[Total Energy Cost]]/Table4[[#This Row],[Monthly Flow]],"")</f>
        <v>268.0075083426029</v>
      </c>
      <c r="V72" s="85">
        <f>_xlfn.IFERROR(Table4[[#This Row],[Total Energy Cost]]/Table4[[#This Row],[Total BOD removed]],"")</f>
        <v>0.16543213820764413</v>
      </c>
      <c r="W72" s="116"/>
      <c r="X72" s="86">
        <f>IF('Process Data Entry'!G74="","",'Process Data Entry'!G74)</f>
        <v>35</v>
      </c>
      <c r="Y72" s="86">
        <f>IF('Process Data Entry'!H74="","",'Process Data Entry'!H74)</f>
        <v>16</v>
      </c>
      <c r="Z72" s="86">
        <f>IF('Process Data Entry'!I74="",0,'Process Data Entry'!I74)</f>
        <v>0</v>
      </c>
      <c r="AA72" s="86">
        <f>IF('Process Data Entry'!J74="","",'Process Data Entry'!J74)</f>
        <v>3.2</v>
      </c>
      <c r="AB72" s="86">
        <f>IF('Process Data Entry'!K74="","",'Process Data Entry'!K74)</f>
        <v>1</v>
      </c>
      <c r="AC72" s="86">
        <f>IF('Process Data Entry'!L74="","",'Process Data Entry'!L74)</f>
        <v>7.8</v>
      </c>
      <c r="AD72" s="87">
        <f t="shared" si="6"/>
        <v>24</v>
      </c>
      <c r="AE72" s="87">
        <f t="shared" si="7"/>
        <v>10796.6304</v>
      </c>
      <c r="AF72" s="150">
        <f>IF('Process Data Entry'!M74="","",'Process Data Entry'!M74)</f>
        <v>7.8</v>
      </c>
      <c r="AG72" s="150">
        <f>IF('Process Data Entry'!N74="","",'Process Data Entry'!N74)</f>
        <v>0.6</v>
      </c>
      <c r="AH72" s="81">
        <f t="shared" si="8"/>
        <v>3238.98912</v>
      </c>
    </row>
    <row r="73" spans="1:34" ht="15">
      <c r="A73" s="78">
        <v>6</v>
      </c>
      <c r="B73" s="88">
        <f>'Energy Data Entry'!B94</f>
        <v>44287</v>
      </c>
      <c r="C73" s="80">
        <f>IF(OR('Process Data Entry'!C75="",'Process Data Entry'!C75=0),"",'Process Data Entry'!C75)</f>
        <v>2.22</v>
      </c>
      <c r="D73" s="81">
        <f>IF(Table4[[#This Row],[Avg Daily Flow]]="","",_xlfn.DAYS(EOMONTH(B73,0),EOMONTH(B73,-1))*C73)</f>
        <v>66.60000000000001</v>
      </c>
      <c r="E73" s="81">
        <f>IF('Process Data Entry'!F75="","",'Process Data Entry'!F75)</f>
        <v>3409.5004200000003</v>
      </c>
      <c r="F73" s="82">
        <f>IF(Table4[[#This Row],[BOD removed]]="","",Table4[[#This Row],[BOD removed]]*_xlfn.DAYS(EOMONTH(Table4[[#This Row],[Column2]],0),EOMONTH(Table4[[#This Row],[Column2]],-1)))</f>
        <v>102285.01260000002</v>
      </c>
      <c r="G73" s="83">
        <f>IF(SUM('Energy Data Entry'!C94,'Energy Data Entry'!H94,'Energy Data Entry'!M94,'Energy Data Entry'!R94,'Energy Data Entry'!W94)=0,"",SUM('Energy Data Entry'!C94,'Energy Data Entry'!H94,'Energy Data Entry'!M94,'Energy Data Entry'!R94,'Energy Data Entry'!W94))</f>
        <v>114297</v>
      </c>
      <c r="H73" s="83">
        <f>'Energy Data Entry'!AG94</f>
        <v>0</v>
      </c>
      <c r="I73" s="83">
        <f>IF(Table4[[#This Row],[Electric kWh usage]]="","",Table4[[#This Row],[Gas kWh usage]]+Table4[[#This Row],[Electric kWh usage]])</f>
        <v>114297</v>
      </c>
      <c r="J73" s="82">
        <f>IF(OR(Table4[[#This Row],[Electric kWh usage]]="",Table4[[#This Row],[Monthly Flow]]=""),"",(Table4[[#This Row],[Electric kWh usage]]+Table4[[#This Row],[Gas kWh usage]])/Table4[[#This Row],[Monthly Flow]])</f>
        <v>1716.171171171171</v>
      </c>
      <c r="K73" s="84">
        <f>_xlfn.IFERROR(IF(Table4[[#This Row],[Electric kWh usage]]="","",(Table4[[#This Row],[Electric kWh usage]]+Table4[[#This Row],[Gas kWh usage]])/Table4[[#This Row],[Total BOD removed]]),"")</f>
        <v>1.1174364366261023</v>
      </c>
      <c r="L73" s="83">
        <f>IF('Energy Data Entry'!E94+'Energy Data Entry'!J94+'Energy Data Entry'!O94+'Energy Data Entry'!T94+'Energy Data Entry'!Y94=0,"",'Energy Data Entry'!E94+'Energy Data Entry'!J94+'Energy Data Entry'!O94+'Energy Data Entry'!T94+'Energy Data Entry'!Y94)</f>
        <v>202</v>
      </c>
      <c r="M73" s="83">
        <f>IF('Energy Data Entry'!F94+'Energy Data Entry'!K94+'Energy Data Entry'!P94++'Energy Data Entry'!U94+'Energy Data Entry'!Z94=0,"",'Energy Data Entry'!F94+'Energy Data Entry'!K94+'Energy Data Entry'!P94++'Energy Data Entry'!U94+'Energy Data Entry'!Z94)</f>
        <v>210</v>
      </c>
      <c r="N73" s="85">
        <f>IF('Energy Data Entry'!G94+'Energy Data Entry'!L94+'Energy Data Entry'!Q94+'Energy Data Entry'!V94+'Energy Data Entry'!AA94=0,"",'Energy Data Entry'!G94+'Energy Data Entry'!L94+'Energy Data Entry'!Q94+'Energy Data Entry'!V94+'Energy Data Entry'!AA94)</f>
        <v>2520</v>
      </c>
      <c r="O73" s="85">
        <f>IF('Energy Data Entry'!D94+'Energy Data Entry'!I94+'Energy Data Entry'!N94+'Energy Data Entry'!S94+'Energy Data Entry'!X94=0,"",'Energy Data Entry'!D94+'Energy Data Entry'!I94+'Energy Data Entry'!N94+'Energy Data Entry'!S94+'Energy Data Entry'!X94)</f>
        <v>11092.275</v>
      </c>
      <c r="P73" s="403">
        <f>'Energy Data Entry'!AF94</f>
        <v>0</v>
      </c>
      <c r="Q73" s="151">
        <f>_xlfn.IFERROR(Table4[[#This Row],[Total electric cost]]/Table4[[#This Row],[Electric kWh usage]],"")</f>
        <v>0.09704782277750072</v>
      </c>
      <c r="R73" s="151">
        <f>_xlfn.IFERROR(Table4[[#This Row],[Electric Demand Cost]]/Table4[[#This Row],[Total Electric Demand (Billed)]],_xlfn.IFERROR(Table4[[#This Row],[Electric Demand Cost]]/Table4[[#This Row],[Total Electric Demand (Actual)]],""))</f>
        <v>12</v>
      </c>
      <c r="S73" s="85">
        <f>_xlfn.IFERROR(Table4[[#This Row],[Total Gas cost]]+Table4[[#This Row],[Total electric cost]],"")</f>
        <v>11092.275</v>
      </c>
      <c r="T73" s="111"/>
      <c r="U73" s="85">
        <f>_xlfn.IFERROR(Table4[[#This Row],[Total Energy Cost]]/Table4[[#This Row],[Monthly Flow]],"")</f>
        <v>166.55067567567565</v>
      </c>
      <c r="V73" s="85">
        <f>_xlfn.IFERROR(Table4[[#This Row],[Total Energy Cost]]/Table4[[#This Row],[Total BOD removed]],"")</f>
        <v>0.1084447732668119</v>
      </c>
      <c r="W73" s="116"/>
      <c r="X73" s="86">
        <f>IF('Process Data Entry'!G75="","",'Process Data Entry'!G75)</f>
        <v>32</v>
      </c>
      <c r="Y73" s="86">
        <f>IF('Process Data Entry'!H75="","",'Process Data Entry'!H75)</f>
        <v>18</v>
      </c>
      <c r="Z73" s="86">
        <f>IF('Process Data Entry'!I75="",0,'Process Data Entry'!I75)</f>
        <v>0</v>
      </c>
      <c r="AA73" s="86">
        <f>IF('Process Data Entry'!J75="","",'Process Data Entry'!J75)</f>
        <v>2.9</v>
      </c>
      <c r="AB73" s="86">
        <f>IF('Process Data Entry'!K75="","",'Process Data Entry'!K75)</f>
        <v>1.3</v>
      </c>
      <c r="AC73" s="86">
        <f>IF('Process Data Entry'!L75="","",'Process Data Entry'!L75)</f>
        <v>7.7</v>
      </c>
      <c r="AD73" s="87">
        <f t="shared" si="6"/>
        <v>21.4</v>
      </c>
      <c r="AE73" s="87">
        <f t="shared" si="7"/>
        <v>11886.5016</v>
      </c>
      <c r="AF73" s="150">
        <f>IF('Process Data Entry'!M75="","",'Process Data Entry'!M75)</f>
        <v>8.2</v>
      </c>
      <c r="AG73" s="150">
        <f>IF('Process Data Entry'!N75="","",'Process Data Entry'!N75)</f>
        <v>1</v>
      </c>
      <c r="AH73" s="81">
        <f t="shared" si="8"/>
        <v>3999.1968</v>
      </c>
    </row>
    <row r="74" spans="1:34" ht="15">
      <c r="A74" s="78">
        <v>6</v>
      </c>
      <c r="B74" s="88">
        <f>'Energy Data Entry'!B95</f>
        <v>44317</v>
      </c>
      <c r="C74" s="80">
        <f>IF(OR('Process Data Entry'!C76="",'Process Data Entry'!C76=0),"",'Process Data Entry'!C76)</f>
        <v>2.36</v>
      </c>
      <c r="D74" s="81">
        <f>IF(Table4[[#This Row],[Avg Daily Flow]]="","",_xlfn.DAYS(EOMONTH(B74,0),EOMONTH(B74,-1))*C74)</f>
        <v>73.16</v>
      </c>
      <c r="E74" s="81">
        <f>IF('Process Data Entry'!F76="","",'Process Data Entry'!F76)</f>
        <v>3255.4689599999992</v>
      </c>
      <c r="F74" s="82">
        <f>IF(Table4[[#This Row],[BOD removed]]="","",Table4[[#This Row],[BOD removed]]*_xlfn.DAYS(EOMONTH(Table4[[#This Row],[Column2]],0),EOMONTH(Table4[[#This Row],[Column2]],-1)))</f>
        <v>100919.53775999998</v>
      </c>
      <c r="G74" s="83">
        <f>IF(SUM('Energy Data Entry'!C95,'Energy Data Entry'!H95,'Energy Data Entry'!M95,'Energy Data Entry'!R95,'Energy Data Entry'!W95)=0,"",SUM('Energy Data Entry'!C95,'Energy Data Entry'!H95,'Energy Data Entry'!M95,'Energy Data Entry'!R95,'Energy Data Entry'!W95))</f>
        <v>145775</v>
      </c>
      <c r="H74" s="83">
        <f>'Energy Data Entry'!AG95</f>
        <v>0</v>
      </c>
      <c r="I74" s="83">
        <f>IF(Table4[[#This Row],[Electric kWh usage]]="","",Table4[[#This Row],[Gas kWh usage]]+Table4[[#This Row],[Electric kWh usage]])</f>
        <v>145775</v>
      </c>
      <c r="J74" s="82">
        <f>IF(OR(Table4[[#This Row],[Electric kWh usage]]="",Table4[[#This Row],[Monthly Flow]]=""),"",(Table4[[#This Row],[Electric kWh usage]]+Table4[[#This Row],[Gas kWh usage]])/Table4[[#This Row],[Monthly Flow]])</f>
        <v>1992.550574084199</v>
      </c>
      <c r="K74" s="84">
        <f>_xlfn.IFERROR(IF(Table4[[#This Row],[Electric kWh usage]]="","",(Table4[[#This Row],[Electric kWh usage]]+Table4[[#This Row],[Gas kWh usage]])/Table4[[#This Row],[Total BOD removed]]),"")</f>
        <v>1.4444675752149425</v>
      </c>
      <c r="L74" s="83">
        <f>IF('Energy Data Entry'!E95+'Energy Data Entry'!J95+'Energy Data Entry'!O95+'Energy Data Entry'!T95+'Energy Data Entry'!Y95=0,"",'Energy Data Entry'!E95+'Energy Data Entry'!J95+'Energy Data Entry'!O95+'Energy Data Entry'!T95+'Energy Data Entry'!Y95)</f>
        <v>253</v>
      </c>
      <c r="M74" s="83">
        <f>IF('Energy Data Entry'!F95+'Energy Data Entry'!K95+'Energy Data Entry'!P95++'Energy Data Entry'!U95+'Energy Data Entry'!Z95=0,"",'Energy Data Entry'!F95+'Energy Data Entry'!K95+'Energy Data Entry'!P95++'Energy Data Entry'!U95+'Energy Data Entry'!Z95)</f>
        <v>253</v>
      </c>
      <c r="N74" s="85">
        <f>IF('Energy Data Entry'!G95+'Energy Data Entry'!L95+'Energy Data Entry'!Q95+'Energy Data Entry'!V95+'Energy Data Entry'!AA95=0,"",'Energy Data Entry'!G95+'Energy Data Entry'!L95+'Energy Data Entry'!Q95+'Energy Data Entry'!V95+'Energy Data Entry'!AA95)</f>
        <v>3036</v>
      </c>
      <c r="O74" s="85">
        <f>IF('Energy Data Entry'!D95+'Energy Data Entry'!I95+'Energy Data Entry'!N95+'Energy Data Entry'!S95+'Energy Data Entry'!X95=0,"",'Energy Data Entry'!D95+'Energy Data Entry'!I95+'Energy Data Entry'!N95+'Energy Data Entry'!S95+'Energy Data Entry'!X95)</f>
        <v>13969.125</v>
      </c>
      <c r="P74" s="403">
        <f>'Energy Data Entry'!AF95</f>
        <v>0</v>
      </c>
      <c r="Q74" s="151">
        <f>_xlfn.IFERROR(Table4[[#This Row],[Total electric cost]]/Table4[[#This Row],[Electric kWh usage]],"")</f>
        <v>0.09582661636083005</v>
      </c>
      <c r="R74" s="151">
        <f>_xlfn.IFERROR(Table4[[#This Row],[Electric Demand Cost]]/Table4[[#This Row],[Total Electric Demand (Billed)]],_xlfn.IFERROR(Table4[[#This Row],[Electric Demand Cost]]/Table4[[#This Row],[Total Electric Demand (Actual)]],""))</f>
        <v>12</v>
      </c>
      <c r="S74" s="85">
        <f>_xlfn.IFERROR(Table4[[#This Row],[Total Gas cost]]+Table4[[#This Row],[Total electric cost]],"")</f>
        <v>13969.125</v>
      </c>
      <c r="T74" s="111"/>
      <c r="U74" s="85">
        <f>_xlfn.IFERROR(Table4[[#This Row],[Total Energy Cost]]/Table4[[#This Row],[Monthly Flow]],"")</f>
        <v>190.93937944231823</v>
      </c>
      <c r="V74" s="85">
        <f>_xlfn.IFERROR(Table4[[#This Row],[Total Energy Cost]]/Table4[[#This Row],[Total BOD removed]],"")</f>
        <v>0.13841844017578073</v>
      </c>
      <c r="W74" s="116"/>
      <c r="X74" s="86">
        <f>IF('Process Data Entry'!G76="","",'Process Data Entry'!G76)</f>
        <v>32</v>
      </c>
      <c r="Y74" s="86">
        <f>IF('Process Data Entry'!H76="","",'Process Data Entry'!H76)</f>
        <v>13</v>
      </c>
      <c r="Z74" s="86">
        <f>IF('Process Data Entry'!I76="",0,'Process Data Entry'!I76)</f>
        <v>0</v>
      </c>
      <c r="AA74" s="86">
        <f>IF('Process Data Entry'!J76="","",'Process Data Entry'!J76)</f>
        <v>3</v>
      </c>
      <c r="AB74" s="86">
        <f>IF('Process Data Entry'!K76="","",'Process Data Entry'!K76)</f>
        <v>1.4</v>
      </c>
      <c r="AC74" s="86">
        <f>IF('Process Data Entry'!L76="","",'Process Data Entry'!L76)</f>
        <v>8.6</v>
      </c>
      <c r="AD74" s="87">
        <f t="shared" si="6"/>
        <v>20.4</v>
      </c>
      <c r="AE74" s="87">
        <f t="shared" si="7"/>
        <v>12447.149759999997</v>
      </c>
      <c r="AF74" s="150">
        <f>IF('Process Data Entry'!M76="","",'Process Data Entry'!M76)</f>
        <v>8.6</v>
      </c>
      <c r="AG74" s="150">
        <f>IF('Process Data Entry'!N76="","",'Process Data Entry'!N76)</f>
        <v>1.5</v>
      </c>
      <c r="AH74" s="81">
        <f t="shared" si="8"/>
        <v>4332.09624</v>
      </c>
    </row>
    <row r="75" spans="1:34" s="105" customFormat="1" ht="15" thickBot="1">
      <c r="A75" s="97">
        <v>6</v>
      </c>
      <c r="B75" s="107">
        <f>'Energy Data Entry'!B96</f>
        <v>44348</v>
      </c>
      <c r="C75" s="355">
        <f>IF(OR('Process Data Entry'!C77="",'Process Data Entry'!C77=0),"",'Process Data Entry'!C77)</f>
        <v>1.84</v>
      </c>
      <c r="D75" s="99">
        <f>IF(Table4[[#This Row],[Avg Daily Flow]]="","",_xlfn.DAYS(EOMONTH(B75,0),EOMONTH(B75,-1))*C75)</f>
        <v>55.2</v>
      </c>
      <c r="E75" s="99">
        <f>IF('Process Data Entry'!F77="","",'Process Data Entry'!F77)</f>
        <v>2257.33776</v>
      </c>
      <c r="F75" s="100">
        <f>IF(Table4[[#This Row],[BOD removed]]="","",Table4[[#This Row],[BOD removed]]*_xlfn.DAYS(EOMONTH(Table4[[#This Row],[Column2]],0),EOMONTH(Table4[[#This Row],[Column2]],-1)))</f>
        <v>67720.13279999999</v>
      </c>
      <c r="G75" s="101">
        <f>IF(SUM('Energy Data Entry'!C96,'Energy Data Entry'!H96,'Energy Data Entry'!M96,'Energy Data Entry'!R96,'Energy Data Entry'!W96)=0,"",SUM('Energy Data Entry'!C96,'Energy Data Entry'!H96,'Energy Data Entry'!M96,'Energy Data Entry'!R96,'Energy Data Entry'!W96))</f>
        <v>165134</v>
      </c>
      <c r="H75" s="101">
        <f>'Energy Data Entry'!AG96</f>
        <v>0</v>
      </c>
      <c r="I75" s="101">
        <f>IF(Table4[[#This Row],[Electric kWh usage]]="","",Table4[[#This Row],[Gas kWh usage]]+Table4[[#This Row],[Electric kWh usage]])</f>
        <v>165134</v>
      </c>
      <c r="J75" s="100">
        <f>IF(OR(Table4[[#This Row],[Electric kWh usage]]="",Table4[[#This Row],[Monthly Flow]]=""),"",(Table4[[#This Row],[Electric kWh usage]]+Table4[[#This Row],[Gas kWh usage]])/Table4[[#This Row],[Monthly Flow]])</f>
        <v>2991.5579710144925</v>
      </c>
      <c r="K75" s="102">
        <f>_xlfn.IFERROR(IF(Table4[[#This Row],[Electric kWh usage]]="","",(Table4[[#This Row],[Electric kWh usage]]+Table4[[#This Row],[Gas kWh usage]])/Table4[[#This Row],[Total BOD removed]]),"")</f>
        <v>2.438477202749963</v>
      </c>
      <c r="L75" s="101">
        <f>IF('Energy Data Entry'!E96+'Energy Data Entry'!J96+'Energy Data Entry'!O96+'Energy Data Entry'!T96+'Energy Data Entry'!Y96=0,"",'Energy Data Entry'!E96+'Energy Data Entry'!J96+'Energy Data Entry'!O96+'Energy Data Entry'!T96+'Energy Data Entry'!Y96)</f>
        <v>269</v>
      </c>
      <c r="M75" s="101">
        <f>IF('Energy Data Entry'!F96+'Energy Data Entry'!K96+'Energy Data Entry'!P96++'Energy Data Entry'!U96+'Energy Data Entry'!Z96=0,"",'Energy Data Entry'!F96+'Energy Data Entry'!K96+'Energy Data Entry'!P96++'Energy Data Entry'!U96+'Energy Data Entry'!Z96)</f>
        <v>269</v>
      </c>
      <c r="N75" s="103">
        <f>IF('Energy Data Entry'!G96+'Energy Data Entry'!L96+'Energy Data Entry'!Q96+'Energy Data Entry'!V96+'Energy Data Entry'!AA96=0,"",'Energy Data Entry'!G96+'Energy Data Entry'!L96+'Energy Data Entry'!Q96+'Energy Data Entry'!V96+'Energy Data Entry'!AA96)</f>
        <v>3228</v>
      </c>
      <c r="O75" s="103">
        <f>IF('Energy Data Entry'!D96+'Energy Data Entry'!I96+'Energy Data Entry'!N96+'Energy Data Entry'!S96+'Energy Data Entry'!X96=0,"",'Energy Data Entry'!D96+'Energy Data Entry'!I96+'Energy Data Entry'!N96+'Energy Data Entry'!S96+'Energy Data Entry'!X96)</f>
        <v>15613.05</v>
      </c>
      <c r="P75" s="404">
        <f>'Energy Data Entry'!AF96</f>
        <v>0</v>
      </c>
      <c r="Q75" s="152">
        <f>_xlfn.IFERROR(Table4[[#This Row],[Total electric cost]]/Table4[[#This Row],[Electric kWh usage]],"")</f>
        <v>0.09454776121210652</v>
      </c>
      <c r="R75" s="152">
        <f>_xlfn.IFERROR(Table4[[#This Row],[Electric Demand Cost]]/Table4[[#This Row],[Total Electric Demand (Billed)]],_xlfn.IFERROR(Table4[[#This Row],[Electric Demand Cost]]/Table4[[#This Row],[Total Electric Demand (Actual)]],""))</f>
        <v>12</v>
      </c>
      <c r="S75" s="103">
        <f>_xlfn.IFERROR(Table4[[#This Row],[Total Gas cost]]+Table4[[#This Row],[Total electric cost]],"")</f>
        <v>15613.05</v>
      </c>
      <c r="T75" s="112"/>
      <c r="U75" s="103">
        <f>_xlfn.IFERROR(Table4[[#This Row],[Total Energy Cost]]/Table4[[#This Row],[Monthly Flow]],"")</f>
        <v>282.84510869565213</v>
      </c>
      <c r="V75" s="103">
        <f>_xlfn.IFERROR(Table4[[#This Row],[Total Energy Cost]]/Table4[[#This Row],[Total BOD removed]],"")</f>
        <v>0.230552560286769</v>
      </c>
      <c r="W75" s="356"/>
      <c r="X75" s="104">
        <f>IF('Process Data Entry'!G77="","",'Process Data Entry'!G77)</f>
        <v>39</v>
      </c>
      <c r="Y75" s="104">
        <f>IF('Process Data Entry'!H77="","",'Process Data Entry'!H77)</f>
        <v>13</v>
      </c>
      <c r="Z75" s="104">
        <f>IF('Process Data Entry'!I77="",0,'Process Data Entry'!I77)</f>
        <v>0</v>
      </c>
      <c r="AA75" s="104">
        <f>IF('Process Data Entry'!J77="","",'Process Data Entry'!J77)</f>
        <v>3.3</v>
      </c>
      <c r="AB75" s="104">
        <f>IF('Process Data Entry'!K77="","",'Process Data Entry'!K77)</f>
        <v>1.3</v>
      </c>
      <c r="AC75" s="104">
        <f>IF('Process Data Entry'!L77="","",'Process Data Entry'!L77)</f>
        <v>8.3</v>
      </c>
      <c r="AD75" s="357">
        <f t="shared" si="6"/>
        <v>27.4</v>
      </c>
      <c r="AE75" s="357">
        <f t="shared" si="7"/>
        <v>12614.0832</v>
      </c>
      <c r="AF75" s="358">
        <f>IF('Process Data Entry'!M77="","",'Process Data Entry'!M77)</f>
        <v>7.4</v>
      </c>
      <c r="AG75" s="358">
        <f>IF('Process Data Entry'!N77="","",'Process Data Entry'!N77)</f>
        <v>0.7</v>
      </c>
      <c r="AH75" s="99">
        <f t="shared" si="8"/>
        <v>3084.4656</v>
      </c>
    </row>
    <row r="76" spans="1:34" ht="15">
      <c r="A76" s="89">
        <v>7</v>
      </c>
      <c r="B76" s="106">
        <f>'Energy Data Entry'!B97</f>
        <v>44378</v>
      </c>
      <c r="C76" s="359">
        <f>IF(OR('Process Data Entry'!C78="",'Process Data Entry'!C78=0),"",'Process Data Entry'!C78)</f>
        <v>1.7</v>
      </c>
      <c r="D76" s="91">
        <f>IF(Table4[[#This Row],[Avg Daily Flow]]="","",_xlfn.DAYS(EOMONTH(B76,0),EOMONTH(B76,-1))*C76)</f>
        <v>52.699999999999996</v>
      </c>
      <c r="E76" s="91">
        <f>IF('Process Data Entry'!F78="","",'Process Data Entry'!F78)</f>
        <v>2209.6413</v>
      </c>
      <c r="F76" s="92">
        <f>IF(Table4[[#This Row],[BOD removed]]="","",Table4[[#This Row],[BOD removed]]*_xlfn.DAYS(EOMONTH(Table4[[#This Row],[Column2]],0),EOMONTH(Table4[[#This Row],[Column2]],-1)))</f>
        <v>68498.88029999999</v>
      </c>
      <c r="G76" s="93">
        <f>IF(SUM('Energy Data Entry'!C97,'Energy Data Entry'!H97,'Energy Data Entry'!M97,'Energy Data Entry'!R97,'Energy Data Entry'!W97)=0,"",SUM('Energy Data Entry'!C97,'Energy Data Entry'!H97,'Energy Data Entry'!M97,'Energy Data Entry'!R97,'Energy Data Entry'!W97))</f>
        <v>155420</v>
      </c>
      <c r="H76" s="93">
        <f>'Energy Data Entry'!AG97</f>
        <v>0</v>
      </c>
      <c r="I76" s="93">
        <f>IF(Table4[[#This Row],[Electric kWh usage]]="","",Table4[[#This Row],[Gas kWh usage]]+Table4[[#This Row],[Electric kWh usage]])</f>
        <v>155420</v>
      </c>
      <c r="J76" s="92">
        <f>IF(OR(Table4[[#This Row],[Electric kWh usage]]="",Table4[[#This Row],[Monthly Flow]]=""),"",(Table4[[#This Row],[Electric kWh usage]]+Table4[[#This Row],[Gas kWh usage]])/Table4[[#This Row],[Monthly Flow]])</f>
        <v>2949.1461100569263</v>
      </c>
      <c r="K76" s="94">
        <f>_xlfn.IFERROR(IF(Table4[[#This Row],[Electric kWh usage]]="","",(Table4[[#This Row],[Electric kWh usage]]+Table4[[#This Row],[Gas kWh usage]])/Table4[[#This Row],[Total BOD removed]]),"")</f>
        <v>2.26894219758509</v>
      </c>
      <c r="L76" s="93">
        <f>IF('Energy Data Entry'!E97+'Energy Data Entry'!J97+'Energy Data Entry'!O97+'Energy Data Entry'!T97+'Energy Data Entry'!Y97=0,"",'Energy Data Entry'!E97+'Energy Data Entry'!J97+'Energy Data Entry'!O97+'Energy Data Entry'!T97+'Energy Data Entry'!Y97)</f>
        <v>266</v>
      </c>
      <c r="M76" s="93">
        <f>IF('Energy Data Entry'!F97+'Energy Data Entry'!K97+'Energy Data Entry'!P97++'Energy Data Entry'!U97+'Energy Data Entry'!Z97=0,"",'Energy Data Entry'!F97+'Energy Data Entry'!K97+'Energy Data Entry'!P97++'Energy Data Entry'!U97+'Energy Data Entry'!Z97)</f>
        <v>266</v>
      </c>
      <c r="N76" s="95">
        <f>IF('Energy Data Entry'!G97+'Energy Data Entry'!L97+'Energy Data Entry'!Q97+'Energy Data Entry'!V97+'Energy Data Entry'!AA97=0,"",'Energy Data Entry'!G97+'Energy Data Entry'!L97+'Energy Data Entry'!Q97+'Energy Data Entry'!V97+'Energy Data Entry'!AA97)</f>
        <v>3192</v>
      </c>
      <c r="O76" s="95">
        <f>IF('Energy Data Entry'!D97+'Energy Data Entry'!I97+'Energy Data Entry'!N97+'Energy Data Entry'!S97+'Energy Data Entry'!X97=0,"",'Energy Data Entry'!D97+'Energy Data Entry'!I97+'Energy Data Entry'!N97+'Energy Data Entry'!S97+'Energy Data Entry'!X97)</f>
        <v>14848.5</v>
      </c>
      <c r="P76" s="405">
        <f>'Energy Data Entry'!AF97</f>
        <v>0</v>
      </c>
      <c r="Q76" s="153">
        <f>_xlfn.IFERROR(Table4[[#This Row],[Total electric cost]]/Table4[[#This Row],[Electric kWh usage]],"")</f>
        <v>0.09553789731051344</v>
      </c>
      <c r="R76" s="153">
        <f>_xlfn.IFERROR(Table4[[#This Row],[Electric Demand Cost]]/Table4[[#This Row],[Total Electric Demand (Billed)]],_xlfn.IFERROR(Table4[[#This Row],[Electric Demand Cost]]/Table4[[#This Row],[Total Electric Demand (Actual)]],""))</f>
        <v>12</v>
      </c>
      <c r="S76" s="95">
        <f>_xlfn.IFERROR(Table4[[#This Row],[Total Gas cost]]+Table4[[#This Row],[Total electric cost]],"")</f>
        <v>14848.5</v>
      </c>
      <c r="T76" s="113"/>
      <c r="U76" s="95">
        <f>_xlfn.IFERROR(Table4[[#This Row],[Total Energy Cost]]/Table4[[#This Row],[Monthly Flow]],"")</f>
        <v>281.7552182163188</v>
      </c>
      <c r="V76" s="95">
        <f>_xlfn.IFERROR(Table4[[#This Row],[Total Energy Cost]]/Table4[[#This Row],[Total BOD removed]],"")</f>
        <v>0.21676996667637502</v>
      </c>
      <c r="W76" s="116"/>
      <c r="X76" s="96">
        <f>IF('Process Data Entry'!G78="","",'Process Data Entry'!G78)</f>
        <v>40</v>
      </c>
      <c r="Y76" s="96">
        <f>IF('Process Data Entry'!H78="","",'Process Data Entry'!H78)</f>
        <v>11</v>
      </c>
      <c r="Z76" s="96">
        <f>IF('Process Data Entry'!I78="",0,'Process Data Entry'!I78)</f>
        <v>0</v>
      </c>
      <c r="AA76" s="96">
        <f>IF('Process Data Entry'!J78="","",'Process Data Entry'!J78)</f>
        <v>3.1</v>
      </c>
      <c r="AB76" s="96">
        <f>IF('Process Data Entry'!K78="","",'Process Data Entry'!K78)</f>
        <v>0.8</v>
      </c>
      <c r="AC76" s="96">
        <f>IF('Process Data Entry'!L78="","",'Process Data Entry'!L78)</f>
        <v>8.9</v>
      </c>
      <c r="AD76" s="360">
        <f t="shared" si="6"/>
        <v>28</v>
      </c>
      <c r="AE76" s="360">
        <f t="shared" si="7"/>
        <v>12306.503999999999</v>
      </c>
      <c r="AF76" s="361">
        <f>IF('Process Data Entry'!M78="","",'Process Data Entry'!M78)</f>
        <v>8.2</v>
      </c>
      <c r="AG76" s="361">
        <f>IF('Process Data Entry'!N78="","",'Process Data Entry'!N78)</f>
        <v>1.3</v>
      </c>
      <c r="AH76" s="91">
        <f t="shared" si="8"/>
        <v>3032.6741999999995</v>
      </c>
    </row>
    <row r="77" spans="1:34" ht="15">
      <c r="A77" s="78">
        <v>7</v>
      </c>
      <c r="B77" s="88">
        <f>'Energy Data Entry'!B98</f>
        <v>44409</v>
      </c>
      <c r="C77" s="80">
        <f>IF(OR('Process Data Entry'!C79="",'Process Data Entry'!C79=0),"",'Process Data Entry'!C79)</f>
        <v>1.78</v>
      </c>
      <c r="D77" s="81">
        <f>IF(Table4[[#This Row],[Avg Daily Flow]]="","",_xlfn.DAYS(EOMONTH(B77,0),EOMONTH(B77,-1))*C77)</f>
        <v>55.18</v>
      </c>
      <c r="E77" s="81">
        <f>IF('Process Data Entry'!F79="","",'Process Data Entry'!F79)</f>
        <v>2770.11432</v>
      </c>
      <c r="F77" s="82">
        <f>IF(Table4[[#This Row],[BOD removed]]="","",Table4[[#This Row],[BOD removed]]*_xlfn.DAYS(EOMONTH(Table4[[#This Row],[Column2]],0),EOMONTH(Table4[[#This Row],[Column2]],-1)))</f>
        <v>85873.54392000001</v>
      </c>
      <c r="G77" s="83">
        <f>IF(SUM('Energy Data Entry'!C98,'Energy Data Entry'!H98,'Energy Data Entry'!M98,'Energy Data Entry'!R98,'Energy Data Entry'!W98)=0,"",SUM('Energy Data Entry'!C98,'Energy Data Entry'!H98,'Energy Data Entry'!M98,'Energy Data Entry'!R98,'Energy Data Entry'!W98))</f>
        <v>112437</v>
      </c>
      <c r="H77" s="83">
        <f>'Energy Data Entry'!AG98</f>
        <v>0</v>
      </c>
      <c r="I77" s="83">
        <f>IF(Table4[[#This Row],[Electric kWh usage]]="","",Table4[[#This Row],[Gas kWh usage]]+Table4[[#This Row],[Electric kWh usage]])</f>
        <v>112437</v>
      </c>
      <c r="J77" s="82">
        <f>IF(OR(Table4[[#This Row],[Electric kWh usage]]="",Table4[[#This Row],[Monthly Flow]]=""),"",(Table4[[#This Row],[Electric kWh usage]]+Table4[[#This Row],[Gas kWh usage]])/Table4[[#This Row],[Monthly Flow]])</f>
        <v>2037.6404494382023</v>
      </c>
      <c r="K77" s="84">
        <f>_xlfn.IFERROR(IF(Table4[[#This Row],[Electric kWh usage]]="","",(Table4[[#This Row],[Electric kWh usage]]+Table4[[#This Row],[Gas kWh usage]])/Table4[[#This Row],[Total BOD removed]]),"")</f>
        <v>1.3093322444540842</v>
      </c>
      <c r="L77" s="83">
        <f>IF('Energy Data Entry'!E98+'Energy Data Entry'!J98+'Energy Data Entry'!O98+'Energy Data Entry'!T98+'Energy Data Entry'!Y98=0,"",'Energy Data Entry'!E98+'Energy Data Entry'!J98+'Energy Data Entry'!O98+'Energy Data Entry'!T98+'Energy Data Entry'!Y98)</f>
        <v>193</v>
      </c>
      <c r="M77" s="83">
        <f>IF('Energy Data Entry'!F98+'Energy Data Entry'!K98+'Energy Data Entry'!P98++'Energy Data Entry'!U98+'Energy Data Entry'!Z98=0,"",'Energy Data Entry'!F98+'Energy Data Entry'!K98+'Energy Data Entry'!P98++'Energy Data Entry'!U98+'Energy Data Entry'!Z98)</f>
        <v>210</v>
      </c>
      <c r="N77" s="85">
        <f>IF('Energy Data Entry'!G98+'Energy Data Entry'!L98+'Energy Data Entry'!Q98+'Energy Data Entry'!V98+'Energy Data Entry'!AA98=0,"",'Energy Data Entry'!G98+'Energy Data Entry'!L98+'Energy Data Entry'!Q98+'Energy Data Entry'!V98+'Energy Data Entry'!AA98)</f>
        <v>2520</v>
      </c>
      <c r="O77" s="85">
        <f>IF('Energy Data Entry'!D98+'Energy Data Entry'!I98+'Energy Data Entry'!N98+'Energy Data Entry'!S98+'Energy Data Entry'!X98=0,"",'Energy Data Entry'!D98+'Energy Data Entry'!I98+'Energy Data Entry'!N98+'Energy Data Entry'!S98+'Energy Data Entry'!X98)</f>
        <v>10952.775</v>
      </c>
      <c r="P77" s="403">
        <f>'Energy Data Entry'!AF98</f>
        <v>0</v>
      </c>
      <c r="Q77" s="151">
        <f>_xlfn.IFERROR(Table4[[#This Row],[Total electric cost]]/Table4[[#This Row],[Electric kWh usage]],"")</f>
        <v>0.097412551028576</v>
      </c>
      <c r="R77" s="151">
        <f>_xlfn.IFERROR(Table4[[#This Row],[Electric Demand Cost]]/Table4[[#This Row],[Total Electric Demand (Billed)]],_xlfn.IFERROR(Table4[[#This Row],[Electric Demand Cost]]/Table4[[#This Row],[Total Electric Demand (Actual)]],""))</f>
        <v>12</v>
      </c>
      <c r="S77" s="85">
        <f>_xlfn.IFERROR(Table4[[#This Row],[Total Gas cost]]+Table4[[#This Row],[Total electric cost]],"")</f>
        <v>10952.775</v>
      </c>
      <c r="T77" s="111"/>
      <c r="U77" s="85">
        <f>_xlfn.IFERROR(Table4[[#This Row],[Total Energy Cost]]/Table4[[#This Row],[Monthly Flow]],"")</f>
        <v>198.4917542587894</v>
      </c>
      <c r="V77" s="85">
        <f>_xlfn.IFERROR(Table4[[#This Row],[Total Energy Cost]]/Table4[[#This Row],[Total BOD removed]],"")</f>
        <v>0.12754539407624343</v>
      </c>
      <c r="W77" s="116"/>
      <c r="X77" s="86">
        <f>IF('Process Data Entry'!G79="","",'Process Data Entry'!G79)</f>
        <v>35</v>
      </c>
      <c r="Y77" s="86">
        <f>IF('Process Data Entry'!H79="","",'Process Data Entry'!H79)</f>
        <v>16</v>
      </c>
      <c r="Z77" s="86">
        <f>IF('Process Data Entry'!I79="",0,'Process Data Entry'!I79)</f>
        <v>0</v>
      </c>
      <c r="AA77" s="86">
        <f>IF('Process Data Entry'!J79="","",'Process Data Entry'!J79)</f>
        <v>3</v>
      </c>
      <c r="AB77" s="86">
        <f>IF('Process Data Entry'!K79="","",'Process Data Entry'!K79)</f>
        <v>1</v>
      </c>
      <c r="AC77" s="86">
        <f>IF('Process Data Entry'!L79="","",'Process Data Entry'!L79)</f>
        <v>9.1</v>
      </c>
      <c r="AD77" s="87">
        <f t="shared" si="6"/>
        <v>22.9</v>
      </c>
      <c r="AE77" s="87">
        <f t="shared" si="7"/>
        <v>10538.607479999999</v>
      </c>
      <c r="AF77" s="150">
        <f>IF('Process Data Entry'!M79="","",'Process Data Entry'!M79)</f>
        <v>8.3</v>
      </c>
      <c r="AG77" s="150">
        <f>IF('Process Data Entry'!N79="","",'Process Data Entry'!N79)</f>
        <v>1.2</v>
      </c>
      <c r="AH77" s="81">
        <f t="shared" si="8"/>
        <v>3267.42852</v>
      </c>
    </row>
    <row r="78" spans="1:34" ht="15">
      <c r="A78" s="78">
        <v>7</v>
      </c>
      <c r="B78" s="88">
        <f>'Energy Data Entry'!B99</f>
        <v>44440</v>
      </c>
      <c r="C78" s="80">
        <f>IF(OR('Process Data Entry'!C80="",'Process Data Entry'!C80=0),"",'Process Data Entry'!C80)</f>
        <v>1.5</v>
      </c>
      <c r="D78" s="81">
        <f>IF(Table4[[#This Row],[Avg Daily Flow]]="","",_xlfn.DAYS(EOMONTH(B78,0),EOMONTH(B78,-1))*C78)</f>
        <v>45</v>
      </c>
      <c r="E78" s="81">
        <f>IF('Process Data Entry'!F80="","",'Process Data Entry'!F80)</f>
        <v>2446.956</v>
      </c>
      <c r="F78" s="82">
        <f>IF(Table4[[#This Row],[BOD removed]]="","",Table4[[#This Row],[BOD removed]]*_xlfn.DAYS(EOMONTH(Table4[[#This Row],[Column2]],0),EOMONTH(Table4[[#This Row],[Column2]],-1)))</f>
        <v>73408.68000000001</v>
      </c>
      <c r="G78" s="83">
        <f>IF(SUM('Energy Data Entry'!C99,'Energy Data Entry'!H99,'Energy Data Entry'!M99,'Energy Data Entry'!R99,'Energy Data Entry'!W99)=0,"",SUM('Energy Data Entry'!C99,'Energy Data Entry'!H99,'Energy Data Entry'!M99,'Energy Data Entry'!R99,'Energy Data Entry'!W99))</f>
        <v>115687</v>
      </c>
      <c r="H78" s="83">
        <f>'Energy Data Entry'!AG99</f>
        <v>0</v>
      </c>
      <c r="I78" s="83">
        <f>IF(Table4[[#This Row],[Electric kWh usage]]="","",Table4[[#This Row],[Gas kWh usage]]+Table4[[#This Row],[Electric kWh usage]])</f>
        <v>115687</v>
      </c>
      <c r="J78" s="82">
        <f>IF(OR(Table4[[#This Row],[Electric kWh usage]]="",Table4[[#This Row],[Monthly Flow]]=""),"",(Table4[[#This Row],[Electric kWh usage]]+Table4[[#This Row],[Gas kWh usage]])/Table4[[#This Row],[Monthly Flow]])</f>
        <v>2570.822222222222</v>
      </c>
      <c r="K78" s="84">
        <f>_xlfn.IFERROR(IF(Table4[[#This Row],[Electric kWh usage]]="","",(Table4[[#This Row],[Electric kWh usage]]+Table4[[#This Row],[Gas kWh usage]])/Table4[[#This Row],[Total BOD removed]]),"")</f>
        <v>1.5759308027334096</v>
      </c>
      <c r="L78" s="83">
        <f>IF('Energy Data Entry'!E99+'Energy Data Entry'!J99+'Energy Data Entry'!O99+'Energy Data Entry'!T99+'Energy Data Entry'!Y99=0,"",'Energy Data Entry'!E99+'Energy Data Entry'!J99+'Energy Data Entry'!O99+'Energy Data Entry'!T99+'Energy Data Entry'!Y99)</f>
        <v>185</v>
      </c>
      <c r="M78" s="83">
        <f>IF('Energy Data Entry'!F99+'Energy Data Entry'!K99+'Energy Data Entry'!P99++'Energy Data Entry'!U99+'Energy Data Entry'!Z99=0,"",'Energy Data Entry'!F99+'Energy Data Entry'!K99+'Energy Data Entry'!P99++'Energy Data Entry'!U99+'Energy Data Entry'!Z99)</f>
        <v>210</v>
      </c>
      <c r="N78" s="85">
        <f>IF('Energy Data Entry'!G99+'Energy Data Entry'!L99+'Energy Data Entry'!Q99+'Energy Data Entry'!V99+'Energy Data Entry'!AA99=0,"",'Energy Data Entry'!G99+'Energy Data Entry'!L99+'Energy Data Entry'!Q99+'Energy Data Entry'!V99+'Energy Data Entry'!AA99)</f>
        <v>2520</v>
      </c>
      <c r="O78" s="85">
        <f>IF('Energy Data Entry'!D99+'Energy Data Entry'!I99+'Energy Data Entry'!N99+'Energy Data Entry'!S99+'Energy Data Entry'!X99=0,"",'Energy Data Entry'!D99+'Energy Data Entry'!I99+'Energy Data Entry'!N99+'Energy Data Entry'!S99+'Energy Data Entry'!X99)</f>
        <v>11196.525</v>
      </c>
      <c r="P78" s="403">
        <f>'Energy Data Entry'!AF99</f>
        <v>0</v>
      </c>
      <c r="Q78" s="151">
        <f>_xlfn.IFERROR(Table4[[#This Row],[Total electric cost]]/Table4[[#This Row],[Electric kWh usage]],"")</f>
        <v>0.09678291424274119</v>
      </c>
      <c r="R78" s="151">
        <f>_xlfn.IFERROR(Table4[[#This Row],[Electric Demand Cost]]/Table4[[#This Row],[Total Electric Demand (Billed)]],_xlfn.IFERROR(Table4[[#This Row],[Electric Demand Cost]]/Table4[[#This Row],[Total Electric Demand (Actual)]],""))</f>
        <v>12</v>
      </c>
      <c r="S78" s="85">
        <f>_xlfn.IFERROR(Table4[[#This Row],[Total Gas cost]]+Table4[[#This Row],[Total electric cost]],"")</f>
        <v>11196.525</v>
      </c>
      <c r="T78" s="111"/>
      <c r="U78" s="85">
        <f>_xlfn.IFERROR(Table4[[#This Row],[Total Energy Cost]]/Table4[[#This Row],[Monthly Flow]],"")</f>
        <v>248.81166666666667</v>
      </c>
      <c r="V78" s="85">
        <f>_xlfn.IFERROR(Table4[[#This Row],[Total Energy Cost]]/Table4[[#This Row],[Total BOD removed]],"")</f>
        <v>0.15252317573344185</v>
      </c>
      <c r="W78" s="116"/>
      <c r="X78" s="86">
        <f>IF('Process Data Entry'!G80="","",'Process Data Entry'!G80)</f>
        <v>40</v>
      </c>
      <c r="Y78" s="86">
        <f>IF('Process Data Entry'!H80="","",'Process Data Entry'!H80)</f>
        <v>16</v>
      </c>
      <c r="Z78" s="86">
        <f>IF('Process Data Entry'!I80="",0,'Process Data Entry'!I80)</f>
        <v>0</v>
      </c>
      <c r="AA78" s="86">
        <f>IF('Process Data Entry'!J80="","",'Process Data Entry'!J80)</f>
        <v>2.8</v>
      </c>
      <c r="AB78" s="86">
        <f>IF('Process Data Entry'!K80="","",'Process Data Entry'!K80)</f>
        <v>1.2</v>
      </c>
      <c r="AC78" s="86">
        <f>IF('Process Data Entry'!L80="","",'Process Data Entry'!L80)</f>
        <v>7</v>
      </c>
      <c r="AD78" s="87">
        <f t="shared" si="6"/>
        <v>30.2</v>
      </c>
      <c r="AE78" s="87">
        <f t="shared" si="7"/>
        <v>11334.06</v>
      </c>
      <c r="AF78" s="150">
        <f>IF('Process Data Entry'!M80="","",'Process Data Entry'!M80)</f>
        <v>9.1</v>
      </c>
      <c r="AG78" s="150">
        <f>IF('Process Data Entry'!N80="","",'Process Data Entry'!N80)</f>
        <v>1.5</v>
      </c>
      <c r="AH78" s="81">
        <f t="shared" si="8"/>
        <v>2852.2799999999997</v>
      </c>
    </row>
    <row r="79" spans="1:34" ht="15">
      <c r="A79" s="78">
        <v>7</v>
      </c>
      <c r="B79" s="88">
        <f>'Energy Data Entry'!B100</f>
        <v>44470</v>
      </c>
      <c r="C79" s="80">
        <f>IF(OR('Process Data Entry'!C81="",'Process Data Entry'!C81=0),"",'Process Data Entry'!C81)</f>
        <v>2.44</v>
      </c>
      <c r="D79" s="81">
        <f>IF(Table4[[#This Row],[Avg Daily Flow]]="","",_xlfn.DAYS(EOMONTH(B79,0),EOMONTH(B79,-1))*C79)</f>
        <v>75.64</v>
      </c>
      <c r="E79" s="81">
        <f>IF('Process Data Entry'!F81="","",'Process Data Entry'!F81)</f>
        <v>4477.92948</v>
      </c>
      <c r="F79" s="82">
        <f>IF(Table4[[#This Row],[BOD removed]]="","",Table4[[#This Row],[BOD removed]]*_xlfn.DAYS(EOMONTH(Table4[[#This Row],[Column2]],0),EOMONTH(Table4[[#This Row],[Column2]],-1)))</f>
        <v>138815.81388</v>
      </c>
      <c r="G79" s="83">
        <f>IF(SUM('Energy Data Entry'!C100,'Energy Data Entry'!H100,'Energy Data Entry'!M100,'Energy Data Entry'!R100,'Energy Data Entry'!W100)=0,"",SUM('Energy Data Entry'!C100,'Energy Data Entry'!H100,'Energy Data Entry'!M100,'Energy Data Entry'!R100,'Energy Data Entry'!W100))</f>
        <v>126793</v>
      </c>
      <c r="H79" s="83">
        <f>'Energy Data Entry'!AG100</f>
        <v>0</v>
      </c>
      <c r="I79" s="83">
        <f>IF(Table4[[#This Row],[Electric kWh usage]]="","",Table4[[#This Row],[Gas kWh usage]]+Table4[[#This Row],[Electric kWh usage]])</f>
        <v>126793</v>
      </c>
      <c r="J79" s="82">
        <f>IF(OR(Table4[[#This Row],[Electric kWh usage]]="",Table4[[#This Row],[Monthly Flow]]=""),"",(Table4[[#This Row],[Electric kWh usage]]+Table4[[#This Row],[Gas kWh usage]])/Table4[[#This Row],[Monthly Flow]])</f>
        <v>1676.2691697514542</v>
      </c>
      <c r="K79" s="84">
        <f>_xlfn.IFERROR(IF(Table4[[#This Row],[Electric kWh usage]]="","",(Table4[[#This Row],[Electric kWh usage]]+Table4[[#This Row],[Gas kWh usage]])/Table4[[#This Row],[Total BOD removed]]),"")</f>
        <v>0.9133901711631127</v>
      </c>
      <c r="L79" s="83">
        <f>IF('Energy Data Entry'!E100+'Energy Data Entry'!J100+'Energy Data Entry'!O100+'Energy Data Entry'!T100+'Energy Data Entry'!Y100=0,"",'Energy Data Entry'!E100+'Energy Data Entry'!J100+'Energy Data Entry'!O100+'Energy Data Entry'!T100+'Energy Data Entry'!Y100)</f>
        <v>218</v>
      </c>
      <c r="M79" s="83">
        <f>IF('Energy Data Entry'!F100+'Energy Data Entry'!K100+'Energy Data Entry'!P100++'Energy Data Entry'!U100+'Energy Data Entry'!Z100=0,"",'Energy Data Entry'!F100+'Energy Data Entry'!K100+'Energy Data Entry'!P100++'Energy Data Entry'!U100+'Energy Data Entry'!Z100)</f>
        <v>218</v>
      </c>
      <c r="N79" s="85">
        <f>IF('Energy Data Entry'!G100+'Energy Data Entry'!L100+'Energy Data Entry'!Q100+'Energy Data Entry'!V100+'Energy Data Entry'!AA100=0,"",'Energy Data Entry'!G100+'Energy Data Entry'!L100+'Energy Data Entry'!Q100+'Energy Data Entry'!V100+'Energy Data Entry'!AA100)</f>
        <v>2616</v>
      </c>
      <c r="O79" s="85">
        <f>IF('Energy Data Entry'!D100+'Energy Data Entry'!I100+'Energy Data Entry'!N100+'Energy Data Entry'!S100+'Energy Data Entry'!X100=0,"",'Energy Data Entry'!D100+'Energy Data Entry'!I100+'Energy Data Entry'!N100+'Energy Data Entry'!S100+'Energy Data Entry'!X100)</f>
        <v>12125.475</v>
      </c>
      <c r="P79" s="403">
        <f>'Energy Data Entry'!AF100</f>
        <v>0</v>
      </c>
      <c r="Q79" s="151">
        <f>_xlfn.IFERROR(Table4[[#This Row],[Total electric cost]]/Table4[[#This Row],[Electric kWh usage]],"")</f>
        <v>0.09563205382000584</v>
      </c>
      <c r="R79" s="151">
        <f>_xlfn.IFERROR(Table4[[#This Row],[Electric Demand Cost]]/Table4[[#This Row],[Total Electric Demand (Billed)]],_xlfn.IFERROR(Table4[[#This Row],[Electric Demand Cost]]/Table4[[#This Row],[Total Electric Demand (Actual)]],""))</f>
        <v>12</v>
      </c>
      <c r="S79" s="85">
        <f>_xlfn.IFERROR(Table4[[#This Row],[Total Gas cost]]+Table4[[#This Row],[Total electric cost]],"")</f>
        <v>12125.475</v>
      </c>
      <c r="T79" s="111"/>
      <c r="U79" s="85">
        <f>_xlfn.IFERROR(Table4[[#This Row],[Total Energy Cost]]/Table4[[#This Row],[Monthly Flow]],"")</f>
        <v>160.30506345848758</v>
      </c>
      <c r="V79" s="85">
        <f>_xlfn.IFERROR(Table4[[#This Row],[Total Energy Cost]]/Table4[[#This Row],[Total BOD removed]],"")</f>
        <v>0.08734937800733514</v>
      </c>
      <c r="W79" s="116"/>
      <c r="X79" s="86">
        <f>IF('Process Data Entry'!G81="","",'Process Data Entry'!G81)</f>
        <v>40</v>
      </c>
      <c r="Y79" s="86">
        <f>IF('Process Data Entry'!H81="","",'Process Data Entry'!H81)</f>
        <v>14</v>
      </c>
      <c r="Z79" s="86">
        <f>IF('Process Data Entry'!I81="",0,'Process Data Entry'!I81)</f>
        <v>0</v>
      </c>
      <c r="AA79" s="86">
        <f>IF('Process Data Entry'!J81="","",'Process Data Entry'!J81)</f>
        <v>2.9</v>
      </c>
      <c r="AB79" s="86">
        <f>IF('Process Data Entry'!K81="","",'Process Data Entry'!K81)</f>
        <v>1.4</v>
      </c>
      <c r="AC79" s="86">
        <f>IF('Process Data Entry'!L81="","",'Process Data Entry'!L81)</f>
        <v>9.4</v>
      </c>
      <c r="AD79" s="87">
        <f t="shared" si="6"/>
        <v>27.7</v>
      </c>
      <c r="AE79" s="87">
        <f t="shared" si="7"/>
        <v>17474.20152</v>
      </c>
      <c r="AF79" s="150">
        <f>IF('Process Data Entry'!M81="","",'Process Data Entry'!M81)</f>
        <v>8.2</v>
      </c>
      <c r="AG79" s="150">
        <f>IF('Process Data Entry'!N81="","",'Process Data Entry'!N81)</f>
        <v>0.7</v>
      </c>
      <c r="AH79" s="81">
        <f t="shared" si="8"/>
        <v>4731.281999999999</v>
      </c>
    </row>
    <row r="80" spans="1:34" ht="15">
      <c r="A80" s="78">
        <v>7</v>
      </c>
      <c r="B80" s="88">
        <f>'Energy Data Entry'!B101</f>
        <v>44501</v>
      </c>
      <c r="C80" s="80">
        <f>IF(OR('Process Data Entry'!C82="",'Process Data Entry'!C82=0),"",'Process Data Entry'!C82)</f>
        <v>1.52</v>
      </c>
      <c r="D80" s="81">
        <f>IF(Table4[[#This Row],[Avg Daily Flow]]="","",_xlfn.DAYS(EOMONTH(B80,0),EOMONTH(B80,-1))*C80)</f>
        <v>45.6</v>
      </c>
      <c r="E80" s="81">
        <f>IF('Process Data Entry'!F82="","",'Process Data Entry'!F82)</f>
        <v>2466.9052800000004</v>
      </c>
      <c r="F80" s="82">
        <f>IF(Table4[[#This Row],[BOD removed]]="","",Table4[[#This Row],[BOD removed]]*_xlfn.DAYS(EOMONTH(Table4[[#This Row],[Column2]],0),EOMONTH(Table4[[#This Row],[Column2]],-1)))</f>
        <v>74007.15840000001</v>
      </c>
      <c r="G80" s="83">
        <f>IF(SUM('Energy Data Entry'!C101,'Energy Data Entry'!H101,'Energy Data Entry'!M101,'Energy Data Entry'!R101,'Energy Data Entry'!W101)=0,"",SUM('Energy Data Entry'!C101,'Energy Data Entry'!H101,'Energy Data Entry'!M101,'Energy Data Entry'!R101,'Energy Data Entry'!W101))</f>
        <v>91661</v>
      </c>
      <c r="H80" s="83">
        <f>'Energy Data Entry'!AG101</f>
        <v>0</v>
      </c>
      <c r="I80" s="83">
        <f>IF(Table4[[#This Row],[Electric kWh usage]]="","",Table4[[#This Row],[Gas kWh usage]]+Table4[[#This Row],[Electric kWh usage]])</f>
        <v>91661</v>
      </c>
      <c r="J80" s="82">
        <f>IF(OR(Table4[[#This Row],[Electric kWh usage]]="",Table4[[#This Row],[Monthly Flow]]=""),"",(Table4[[#This Row],[Electric kWh usage]]+Table4[[#This Row],[Gas kWh usage]])/Table4[[#This Row],[Monthly Flow]])</f>
        <v>2010.109649122807</v>
      </c>
      <c r="K80" s="84">
        <f>_xlfn.IFERROR(IF(Table4[[#This Row],[Electric kWh usage]]="","",(Table4[[#This Row],[Electric kWh usage]]+Table4[[#This Row],[Gas kWh usage]])/Table4[[#This Row],[Total BOD removed]]),"")</f>
        <v>1.2385423516004093</v>
      </c>
      <c r="L80" s="83">
        <f>IF('Energy Data Entry'!E101+'Energy Data Entry'!J101+'Energy Data Entry'!O101+'Energy Data Entry'!T101+'Energy Data Entry'!Y101=0,"",'Energy Data Entry'!E101+'Energy Data Entry'!J101+'Energy Data Entry'!O101+'Energy Data Entry'!T101+'Energy Data Entry'!Y101)</f>
        <v>160</v>
      </c>
      <c r="M80" s="83">
        <f>IF('Energy Data Entry'!F101+'Energy Data Entry'!K101+'Energy Data Entry'!P101++'Energy Data Entry'!U101+'Energy Data Entry'!Z101=0,"",'Energy Data Entry'!F101+'Energy Data Entry'!K101+'Energy Data Entry'!P101++'Energy Data Entry'!U101+'Energy Data Entry'!Z101)</f>
        <v>189</v>
      </c>
      <c r="N80" s="85">
        <f>IF('Energy Data Entry'!G101+'Energy Data Entry'!L101+'Energy Data Entry'!Q101+'Energy Data Entry'!V101+'Energy Data Entry'!AA101=0,"",'Energy Data Entry'!G101+'Energy Data Entry'!L101+'Energy Data Entry'!Q101+'Energy Data Entry'!V101+'Energy Data Entry'!AA101)</f>
        <v>2268</v>
      </c>
      <c r="O80" s="85">
        <f>IF('Energy Data Entry'!D101+'Energy Data Entry'!I101+'Energy Data Entry'!N101+'Energy Data Entry'!S101+'Energy Data Entry'!X101=0,"",'Energy Data Entry'!D101+'Energy Data Entry'!I101+'Energy Data Entry'!N101+'Energy Data Entry'!S101+'Energy Data Entry'!X101)</f>
        <v>9142.575</v>
      </c>
      <c r="P80" s="403">
        <f>'Energy Data Entry'!AF101</f>
        <v>0</v>
      </c>
      <c r="Q80" s="151">
        <f>_xlfn.IFERROR(Table4[[#This Row],[Total electric cost]]/Table4[[#This Row],[Electric kWh usage]],"")</f>
        <v>0.09974334777058946</v>
      </c>
      <c r="R80" s="151">
        <f>_xlfn.IFERROR(Table4[[#This Row],[Electric Demand Cost]]/Table4[[#This Row],[Total Electric Demand (Billed)]],_xlfn.IFERROR(Table4[[#This Row],[Electric Demand Cost]]/Table4[[#This Row],[Total Electric Demand (Actual)]],""))</f>
        <v>12</v>
      </c>
      <c r="S80" s="85">
        <f>_xlfn.IFERROR(Table4[[#This Row],[Total Gas cost]]+Table4[[#This Row],[Total electric cost]],"")</f>
        <v>9142.575</v>
      </c>
      <c r="T80" s="111"/>
      <c r="U80" s="85">
        <f>_xlfn.IFERROR(Table4[[#This Row],[Total Energy Cost]]/Table4[[#This Row],[Monthly Flow]],"")</f>
        <v>200.4950657894737</v>
      </c>
      <c r="V80" s="85">
        <f>_xlfn.IFERROR(Table4[[#This Row],[Total Energy Cost]]/Table4[[#This Row],[Total BOD removed]],"")</f>
        <v>0.12353636050428331</v>
      </c>
      <c r="W80" s="116"/>
      <c r="X80" s="86">
        <f>IF('Process Data Entry'!G82="","",'Process Data Entry'!G82)</f>
        <v>39</v>
      </c>
      <c r="Y80" s="86">
        <f>IF('Process Data Entry'!H82="","",'Process Data Entry'!H82)</f>
        <v>15</v>
      </c>
      <c r="Z80" s="86">
        <f>IF('Process Data Entry'!I82="",0,'Process Data Entry'!I82)</f>
        <v>0</v>
      </c>
      <c r="AA80" s="86">
        <f>IF('Process Data Entry'!J82="","",'Process Data Entry'!J82)</f>
        <v>2.8</v>
      </c>
      <c r="AB80" s="86">
        <f>IF('Process Data Entry'!K82="","",'Process Data Entry'!K82)</f>
        <v>1.4</v>
      </c>
      <c r="AC80" s="86">
        <f>IF('Process Data Entry'!L82="","",'Process Data Entry'!L82)</f>
        <v>7.4</v>
      </c>
      <c r="AD80" s="87">
        <f t="shared" si="6"/>
        <v>28.8</v>
      </c>
      <c r="AE80" s="87">
        <f t="shared" si="7"/>
        <v>10952.7552</v>
      </c>
      <c r="AF80" s="150">
        <f>IF('Process Data Entry'!M82="","",'Process Data Entry'!M82)</f>
        <v>9</v>
      </c>
      <c r="AG80" s="150">
        <f>IF('Process Data Entry'!N82="","",'Process Data Entry'!N82)</f>
        <v>0.6</v>
      </c>
      <c r="AH80" s="81">
        <f t="shared" si="8"/>
        <v>3194.5536</v>
      </c>
    </row>
    <row r="81" spans="1:34" ht="15">
      <c r="A81" s="78">
        <v>7</v>
      </c>
      <c r="B81" s="88">
        <f>'Energy Data Entry'!B102</f>
        <v>44531</v>
      </c>
      <c r="C81" s="80">
        <f>IF(OR('Process Data Entry'!C83="",'Process Data Entry'!C83=0),"",'Process Data Entry'!C83)</f>
        <v>1.84</v>
      </c>
      <c r="D81" s="81">
        <f>IF(Table4[[#This Row],[Avg Daily Flow]]="","",_xlfn.DAYS(EOMONTH(B81,0),EOMONTH(B81,-1))*C81)</f>
        <v>57.04</v>
      </c>
      <c r="E81" s="81">
        <f>IF('Process Data Entry'!F83="","",'Process Data Entry'!F83)</f>
        <v>2858.8852800000004</v>
      </c>
      <c r="F81" s="82">
        <f>IF(Table4[[#This Row],[BOD removed]]="","",Table4[[#This Row],[BOD removed]]*_xlfn.DAYS(EOMONTH(Table4[[#This Row],[Column2]],0),EOMONTH(Table4[[#This Row],[Column2]],-1)))</f>
        <v>88625.44368000001</v>
      </c>
      <c r="G81" s="83">
        <f>IF(SUM('Energy Data Entry'!C102,'Energy Data Entry'!H102,'Energy Data Entry'!M102,'Energy Data Entry'!R102,'Energy Data Entry'!W102)=0,"",SUM('Energy Data Entry'!C102,'Energy Data Entry'!H102,'Energy Data Entry'!M102,'Energy Data Entry'!R102,'Energy Data Entry'!W102))</f>
        <v>144292</v>
      </c>
      <c r="H81" s="83">
        <f>'Energy Data Entry'!AG102</f>
        <v>0</v>
      </c>
      <c r="I81" s="83">
        <f>IF(Table4[[#This Row],[Electric kWh usage]]="","",Table4[[#This Row],[Gas kWh usage]]+Table4[[#This Row],[Electric kWh usage]])</f>
        <v>144292</v>
      </c>
      <c r="J81" s="82">
        <f>IF(OR(Table4[[#This Row],[Electric kWh usage]]="",Table4[[#This Row],[Monthly Flow]]=""),"",(Table4[[#This Row],[Electric kWh usage]]+Table4[[#This Row],[Gas kWh usage]])/Table4[[#This Row],[Monthly Flow]])</f>
        <v>2529.663394109397</v>
      </c>
      <c r="K81" s="84">
        <f>_xlfn.IFERROR(IF(Table4[[#This Row],[Electric kWh usage]]="","",(Table4[[#This Row],[Electric kWh usage]]+Table4[[#This Row],[Gas kWh usage]])/Table4[[#This Row],[Total BOD removed]]),"")</f>
        <v>1.6281103259803729</v>
      </c>
      <c r="L81" s="83">
        <f>IF('Energy Data Entry'!E102+'Energy Data Entry'!J102+'Energy Data Entry'!O102+'Energy Data Entry'!T102+'Energy Data Entry'!Y102=0,"",'Energy Data Entry'!E102+'Energy Data Entry'!J102+'Energy Data Entry'!O102+'Energy Data Entry'!T102+'Energy Data Entry'!Y102)</f>
        <v>247</v>
      </c>
      <c r="M81" s="83">
        <f>IF('Energy Data Entry'!F102+'Energy Data Entry'!K102+'Energy Data Entry'!P102++'Energy Data Entry'!U102+'Energy Data Entry'!Z102=0,"",'Energy Data Entry'!F102+'Energy Data Entry'!K102+'Energy Data Entry'!P102++'Energy Data Entry'!U102+'Energy Data Entry'!Z102)</f>
        <v>247</v>
      </c>
      <c r="N81" s="85">
        <f>IF('Energy Data Entry'!G102+'Energy Data Entry'!L102+'Energy Data Entry'!Q102+'Energy Data Entry'!V102+'Energy Data Entry'!AA102=0,"",'Energy Data Entry'!G102+'Energy Data Entry'!L102+'Energy Data Entry'!Q102+'Energy Data Entry'!V102+'Energy Data Entry'!AA102)</f>
        <v>2964</v>
      </c>
      <c r="O81" s="85">
        <f>IF('Energy Data Entry'!D102+'Energy Data Entry'!I102+'Energy Data Entry'!N102+'Energy Data Entry'!S102+'Energy Data Entry'!X102=0,"",'Energy Data Entry'!D102+'Energy Data Entry'!I102+'Energy Data Entry'!N102+'Energy Data Entry'!S102+'Energy Data Entry'!X102)</f>
        <v>13785.9</v>
      </c>
      <c r="P81" s="403">
        <f>'Energy Data Entry'!AF102</f>
        <v>0</v>
      </c>
      <c r="Q81" s="151">
        <f>_xlfn.IFERROR(Table4[[#This Row],[Total electric cost]]/Table4[[#This Row],[Electric kWh usage]],"")</f>
        <v>0.09554167937238378</v>
      </c>
      <c r="R81" s="151">
        <f>_xlfn.IFERROR(Table4[[#This Row],[Electric Demand Cost]]/Table4[[#This Row],[Total Electric Demand (Billed)]],_xlfn.IFERROR(Table4[[#This Row],[Electric Demand Cost]]/Table4[[#This Row],[Total Electric Demand (Actual)]],""))</f>
        <v>12</v>
      </c>
      <c r="S81" s="85">
        <f>_xlfn.IFERROR(Table4[[#This Row],[Total Gas cost]]+Table4[[#This Row],[Total electric cost]],"")</f>
        <v>13785.9</v>
      </c>
      <c r="T81" s="111"/>
      <c r="U81" s="85">
        <f>_xlfn.IFERROR(Table4[[#This Row],[Total Energy Cost]]/Table4[[#This Row],[Monthly Flow]],"")</f>
        <v>241.6882889200561</v>
      </c>
      <c r="V81" s="85">
        <f>_xlfn.IFERROR(Table4[[#This Row],[Total Energy Cost]]/Table4[[#This Row],[Total BOD removed]],"")</f>
        <v>0.155552394747684</v>
      </c>
      <c r="W81" s="116"/>
      <c r="X81" s="86">
        <f>IF('Process Data Entry'!G83="","",'Process Data Entry'!G83)</f>
        <v>38</v>
      </c>
      <c r="Y81" s="86">
        <f>IF('Process Data Entry'!H83="","",'Process Data Entry'!H83)</f>
        <v>15</v>
      </c>
      <c r="Z81" s="86">
        <f>IF('Process Data Entry'!I83="",0,'Process Data Entry'!I83)</f>
        <v>0</v>
      </c>
      <c r="AA81" s="86">
        <f>IF('Process Data Entry'!J83="","",'Process Data Entry'!J83)</f>
        <v>2.9</v>
      </c>
      <c r="AB81" s="86">
        <f>IF('Process Data Entry'!K83="","",'Process Data Entry'!K83)</f>
        <v>1.2</v>
      </c>
      <c r="AC81" s="86">
        <f>IF('Process Data Entry'!L83="","",'Process Data Entry'!L83)</f>
        <v>7.1</v>
      </c>
      <c r="AD81" s="87">
        <f t="shared" si="6"/>
        <v>28</v>
      </c>
      <c r="AE81" s="87">
        <f t="shared" si="7"/>
        <v>13319.9808</v>
      </c>
      <c r="AF81" s="150">
        <f>IF('Process Data Entry'!M83="","",'Process Data Entry'!M83)</f>
        <v>7.4</v>
      </c>
      <c r="AG81" s="150">
        <f>IF('Process Data Entry'!N83="","",'Process Data Entry'!N83)</f>
        <v>1.3</v>
      </c>
      <c r="AH81" s="81">
        <f t="shared" si="8"/>
        <v>2901.85296</v>
      </c>
    </row>
    <row r="82" spans="1:34" ht="15">
      <c r="A82" s="78">
        <v>7</v>
      </c>
      <c r="B82" s="88">
        <f>'Energy Data Entry'!B103</f>
        <v>44562</v>
      </c>
      <c r="C82" s="80">
        <f>IF(OR('Process Data Entry'!C84="",'Process Data Entry'!C84=0),"",'Process Data Entry'!C84)</f>
        <v>2.3</v>
      </c>
      <c r="D82" s="81">
        <f>IF(Table4[[#This Row],[Avg Daily Flow]]="","",_xlfn.DAYS(EOMONTH(B82,0),EOMONTH(B82,-1))*C82)</f>
        <v>71.3</v>
      </c>
      <c r="E82" s="81">
        <f>IF('Process Data Entry'!F84="","",'Process Data Entry'!F84)</f>
        <v>3009.6558</v>
      </c>
      <c r="F82" s="82">
        <f>IF(Table4[[#This Row],[BOD removed]]="","",Table4[[#This Row],[BOD removed]]*_xlfn.DAYS(EOMONTH(Table4[[#This Row],[Column2]],0),EOMONTH(Table4[[#This Row],[Column2]],-1)))</f>
        <v>93299.3298</v>
      </c>
      <c r="G82" s="83">
        <f>IF(SUM('Energy Data Entry'!C103,'Energy Data Entry'!H103,'Energy Data Entry'!M103,'Energy Data Entry'!R103,'Energy Data Entry'!W103)=0,"",SUM('Energy Data Entry'!C103,'Energy Data Entry'!H103,'Energy Data Entry'!M103,'Energy Data Entry'!R103,'Energy Data Entry'!W103))</f>
        <v>97105</v>
      </c>
      <c r="H82" s="83">
        <f>'Energy Data Entry'!AG103</f>
        <v>0</v>
      </c>
      <c r="I82" s="83">
        <f>IF(Table4[[#This Row],[Electric kWh usage]]="","",Table4[[#This Row],[Gas kWh usage]]+Table4[[#This Row],[Electric kWh usage]])</f>
        <v>97105</v>
      </c>
      <c r="J82" s="82">
        <f>IF(OR(Table4[[#This Row],[Electric kWh usage]]="",Table4[[#This Row],[Monthly Flow]]=""),"",(Table4[[#This Row],[Electric kWh usage]]+Table4[[#This Row],[Gas kWh usage]])/Table4[[#This Row],[Monthly Flow]])</f>
        <v>1361.921458625526</v>
      </c>
      <c r="K82" s="84">
        <f>_xlfn.IFERROR(IF(Table4[[#This Row],[Electric kWh usage]]="","",(Table4[[#This Row],[Electric kWh usage]]+Table4[[#This Row],[Gas kWh usage]])/Table4[[#This Row],[Total BOD removed]]),"")</f>
        <v>1.0407898985786712</v>
      </c>
      <c r="L82" s="83">
        <f>IF('Energy Data Entry'!E103+'Energy Data Entry'!J103+'Energy Data Entry'!O103+'Energy Data Entry'!T103+'Energy Data Entry'!Y103=0,"",'Energy Data Entry'!E103+'Energy Data Entry'!J103+'Energy Data Entry'!O103+'Energy Data Entry'!T103+'Energy Data Entry'!Y103)</f>
        <v>182</v>
      </c>
      <c r="M82" s="83">
        <f>IF('Energy Data Entry'!F103+'Energy Data Entry'!K103+'Energy Data Entry'!P103++'Energy Data Entry'!U103+'Energy Data Entry'!Z103=0,"",'Energy Data Entry'!F103+'Energy Data Entry'!K103+'Energy Data Entry'!P103++'Energy Data Entry'!U103+'Energy Data Entry'!Z103)</f>
        <v>189</v>
      </c>
      <c r="N82" s="85">
        <f>IF('Energy Data Entry'!G103+'Energy Data Entry'!L103+'Energy Data Entry'!Q103+'Energy Data Entry'!V103+'Energy Data Entry'!AA103=0,"",'Energy Data Entry'!G103+'Energy Data Entry'!L103+'Energy Data Entry'!Q103+'Energy Data Entry'!V103+'Energy Data Entry'!AA103)</f>
        <v>2268</v>
      </c>
      <c r="O82" s="85">
        <f>IF('Energy Data Entry'!D103+'Energy Data Entry'!I103+'Energy Data Entry'!N103+'Energy Data Entry'!S103+'Energy Data Entry'!X103=0,"",'Energy Data Entry'!D103+'Energy Data Entry'!I103+'Energy Data Entry'!N103+'Energy Data Entry'!S103+'Energy Data Entry'!X103)</f>
        <v>9550.875</v>
      </c>
      <c r="P82" s="403">
        <f>'Energy Data Entry'!AF103</f>
        <v>0</v>
      </c>
      <c r="Q82" s="151">
        <f>_xlfn.IFERROR(Table4[[#This Row],[Total electric cost]]/Table4[[#This Row],[Electric kWh usage]],"")</f>
        <v>0.09835616085680449</v>
      </c>
      <c r="R82" s="151">
        <f>_xlfn.IFERROR(Table4[[#This Row],[Electric Demand Cost]]/Table4[[#This Row],[Total Electric Demand (Billed)]],_xlfn.IFERROR(Table4[[#This Row],[Electric Demand Cost]]/Table4[[#This Row],[Total Electric Demand (Actual)]],""))</f>
        <v>12</v>
      </c>
      <c r="S82" s="85">
        <f>_xlfn.IFERROR(Table4[[#This Row],[Total Gas cost]]+Table4[[#This Row],[Total electric cost]],"")</f>
        <v>9550.875</v>
      </c>
      <c r="T82" s="111"/>
      <c r="U82" s="85">
        <f>_xlfn.IFERROR(Table4[[#This Row],[Total Energy Cost]]/Table4[[#This Row],[Monthly Flow]],"")</f>
        <v>133.95336605890603</v>
      </c>
      <c r="V82" s="85">
        <f>_xlfn.IFERROR(Table4[[#This Row],[Total Energy Cost]]/Table4[[#This Row],[Total BOD removed]],"")</f>
        <v>0.10236809868274101</v>
      </c>
      <c r="W82" s="116"/>
      <c r="X82" s="86">
        <f>IF('Process Data Entry'!G84="","",'Process Data Entry'!G84)</f>
        <v>32</v>
      </c>
      <c r="Y82" s="86">
        <f>IF('Process Data Entry'!H84="","",'Process Data Entry'!H84)</f>
        <v>16</v>
      </c>
      <c r="Z82" s="86">
        <f>IF('Process Data Entry'!I84="",0,'Process Data Entry'!I84)</f>
        <v>0</v>
      </c>
      <c r="AA82" s="86">
        <f>IF('Process Data Entry'!J84="","",'Process Data Entry'!J84)</f>
        <v>2.8</v>
      </c>
      <c r="AB82" s="86">
        <f>IF('Process Data Entry'!K84="","",'Process Data Entry'!K84)</f>
        <v>1.3</v>
      </c>
      <c r="AC82" s="86">
        <f>IF('Process Data Entry'!L84="","",'Process Data Entry'!L84)</f>
        <v>8.6</v>
      </c>
      <c r="AD82" s="87">
        <f t="shared" si="6"/>
        <v>20.6</v>
      </c>
      <c r="AE82" s="87">
        <f t="shared" si="7"/>
        <v>12249.6252</v>
      </c>
      <c r="AF82" s="150">
        <f>IF('Process Data Entry'!M84="","",'Process Data Entry'!M84)</f>
        <v>8.8</v>
      </c>
      <c r="AG82" s="150">
        <f>IF('Process Data Entry'!N84="","",'Process Data Entry'!N84)</f>
        <v>0.8</v>
      </c>
      <c r="AH82" s="81">
        <f t="shared" si="8"/>
        <v>4757.1359999999995</v>
      </c>
    </row>
    <row r="83" spans="1:34" ht="15">
      <c r="A83" s="78">
        <v>7</v>
      </c>
      <c r="B83" s="88">
        <f>'Energy Data Entry'!B104</f>
        <v>44593</v>
      </c>
      <c r="C83" s="80">
        <f>IF(OR('Process Data Entry'!C85="",'Process Data Entry'!C85=0),"",'Process Data Entry'!C85)</f>
        <v>2.08</v>
      </c>
      <c r="D83" s="81">
        <f>IF(Table4[[#This Row],[Avg Daily Flow]]="","",_xlfn.DAYS(EOMONTH(B83,0),EOMONTH(B83,-1))*C83)</f>
        <v>58.24</v>
      </c>
      <c r="E83" s="81">
        <f>IF('Process Data Entry'!F85="","",'Process Data Entry'!F85)</f>
        <v>3744.39312</v>
      </c>
      <c r="F83" s="82">
        <f>IF(Table4[[#This Row],[BOD removed]]="","",Table4[[#This Row],[BOD removed]]*_xlfn.DAYS(EOMONTH(Table4[[#This Row],[Column2]],0),EOMONTH(Table4[[#This Row],[Column2]],-1)))</f>
        <v>104843.00736</v>
      </c>
      <c r="G83" s="83">
        <f>IF(SUM('Energy Data Entry'!C104,'Energy Data Entry'!H104,'Energy Data Entry'!M104,'Energy Data Entry'!R104,'Energy Data Entry'!W104)=0,"",SUM('Energy Data Entry'!C104,'Energy Data Entry'!H104,'Energy Data Entry'!M104,'Energy Data Entry'!R104,'Energy Data Entry'!W104))</f>
        <v>113715</v>
      </c>
      <c r="H83" s="83">
        <f>'Energy Data Entry'!AG104</f>
        <v>0</v>
      </c>
      <c r="I83" s="83">
        <f>IF(Table4[[#This Row],[Electric kWh usage]]="","",Table4[[#This Row],[Gas kWh usage]]+Table4[[#This Row],[Electric kWh usage]])</f>
        <v>113715</v>
      </c>
      <c r="J83" s="82">
        <f>IF(OR(Table4[[#This Row],[Electric kWh usage]]="",Table4[[#This Row],[Monthly Flow]]=""),"",(Table4[[#This Row],[Electric kWh usage]]+Table4[[#This Row],[Gas kWh usage]])/Table4[[#This Row],[Monthly Flow]])</f>
        <v>1952.5240384615383</v>
      </c>
      <c r="K83" s="84">
        <f>_xlfn.IFERROR(IF(Table4[[#This Row],[Electric kWh usage]]="","",(Table4[[#This Row],[Electric kWh usage]]+Table4[[#This Row],[Gas kWh usage]])/Table4[[#This Row],[Total BOD removed]]),"")</f>
        <v>1.084621691645454</v>
      </c>
      <c r="L83" s="83">
        <f>IF('Energy Data Entry'!E104+'Energy Data Entry'!J104+'Energy Data Entry'!O104+'Energy Data Entry'!T104+'Energy Data Entry'!Y104=0,"",'Energy Data Entry'!E104+'Energy Data Entry'!J104+'Energy Data Entry'!O104+'Energy Data Entry'!T104+'Energy Data Entry'!Y104)</f>
        <v>182</v>
      </c>
      <c r="M83" s="83">
        <f>IF('Energy Data Entry'!F104+'Energy Data Entry'!K104+'Energy Data Entry'!P104++'Energy Data Entry'!U104+'Energy Data Entry'!Z104=0,"",'Energy Data Entry'!F104+'Energy Data Entry'!K104+'Energy Data Entry'!P104++'Energy Data Entry'!U104+'Energy Data Entry'!Z104)</f>
        <v>188</v>
      </c>
      <c r="N83" s="85">
        <f>IF('Energy Data Entry'!G104+'Energy Data Entry'!L104+'Energy Data Entry'!Q104+'Energy Data Entry'!V104+'Energy Data Entry'!AA104=0,"",'Energy Data Entry'!G104+'Energy Data Entry'!L104+'Energy Data Entry'!Q104+'Energy Data Entry'!V104+'Energy Data Entry'!AA104)</f>
        <v>2256</v>
      </c>
      <c r="O83" s="85">
        <f>IF('Energy Data Entry'!D104+'Energy Data Entry'!I104+'Energy Data Entry'!N104+'Energy Data Entry'!S104+'Energy Data Entry'!X104=0,"",'Energy Data Entry'!D104+'Energy Data Entry'!I104+'Energy Data Entry'!N104+'Energy Data Entry'!S104+'Energy Data Entry'!X104)</f>
        <v>10784.625</v>
      </c>
      <c r="P83" s="403">
        <f>'Energy Data Entry'!AF104</f>
        <v>0</v>
      </c>
      <c r="Q83" s="151">
        <f>_xlfn.IFERROR(Table4[[#This Row],[Total electric cost]]/Table4[[#This Row],[Electric kWh usage]],"")</f>
        <v>0.09483907136261707</v>
      </c>
      <c r="R83" s="151">
        <f>_xlfn.IFERROR(Table4[[#This Row],[Electric Demand Cost]]/Table4[[#This Row],[Total Electric Demand (Billed)]],_xlfn.IFERROR(Table4[[#This Row],[Electric Demand Cost]]/Table4[[#This Row],[Total Electric Demand (Actual)]],""))</f>
        <v>12</v>
      </c>
      <c r="S83" s="85">
        <f>_xlfn.IFERROR(Table4[[#This Row],[Total Gas cost]]+Table4[[#This Row],[Total electric cost]],"")</f>
        <v>10784.625</v>
      </c>
      <c r="T83" s="111"/>
      <c r="U83" s="85">
        <f>_xlfn.IFERROR(Table4[[#This Row],[Total Energy Cost]]/Table4[[#This Row],[Monthly Flow]],"")</f>
        <v>185.17556662087912</v>
      </c>
      <c r="V83" s="85">
        <f>_xlfn.IFERROR(Table4[[#This Row],[Total Energy Cost]]/Table4[[#This Row],[Total BOD removed]],"")</f>
        <v>0.10286451401540567</v>
      </c>
      <c r="W83" s="116"/>
      <c r="X83" s="86">
        <f>IF('Process Data Entry'!G85="","",'Process Data Entry'!G85)</f>
        <v>37</v>
      </c>
      <c r="Y83" s="86">
        <f>IF('Process Data Entry'!H85="","",'Process Data Entry'!H85)</f>
        <v>18</v>
      </c>
      <c r="Z83" s="86">
        <f>IF('Process Data Entry'!I85="",0,'Process Data Entry'!I85)</f>
        <v>0</v>
      </c>
      <c r="AA83" s="86">
        <f>IF('Process Data Entry'!J85="","",'Process Data Entry'!J85)</f>
        <v>2.8</v>
      </c>
      <c r="AB83" s="86">
        <f>IF('Process Data Entry'!K85="","",'Process Data Entry'!K85)</f>
        <v>1.4</v>
      </c>
      <c r="AC83" s="86">
        <f>IF('Process Data Entry'!L85="","",'Process Data Entry'!L85)</f>
        <v>6.9</v>
      </c>
      <c r="AD83" s="87">
        <f t="shared" si="6"/>
        <v>27.3</v>
      </c>
      <c r="AE83" s="87">
        <f t="shared" si="7"/>
        <v>13260.19968</v>
      </c>
      <c r="AF83" s="150">
        <f>IF('Process Data Entry'!M85="","",'Process Data Entry'!M85)</f>
        <v>8.6</v>
      </c>
      <c r="AG83" s="150">
        <f>IF('Process Data Entry'!N85="","",'Process Data Entry'!N85)</f>
        <v>1.1</v>
      </c>
      <c r="AH83" s="81">
        <f t="shared" si="8"/>
        <v>3642.9120000000003</v>
      </c>
    </row>
    <row r="84" spans="1:34" ht="15">
      <c r="A84" s="78">
        <v>7</v>
      </c>
      <c r="B84" s="88">
        <f>'Energy Data Entry'!B105</f>
        <v>44621</v>
      </c>
      <c r="C84" s="80">
        <f>IF(OR('Process Data Entry'!C86="",'Process Data Entry'!C86=0),"",'Process Data Entry'!C86)</f>
        <v>2.38</v>
      </c>
      <c r="D84" s="81">
        <f>IF(Table4[[#This Row],[Avg Daily Flow]]="","",_xlfn.DAYS(EOMONTH(B84,0),EOMONTH(B84,-1))*C84)</f>
        <v>73.78</v>
      </c>
      <c r="E84" s="81">
        <f>IF('Process Data Entry'!F86="","",'Process Data Entry'!F86)</f>
        <v>4028.3951399999996</v>
      </c>
      <c r="F84" s="82">
        <f>IF(Table4[[#This Row],[BOD removed]]="","",Table4[[#This Row],[BOD removed]]*_xlfn.DAYS(EOMONTH(Table4[[#This Row],[Column2]],0),EOMONTH(Table4[[#This Row],[Column2]],-1)))</f>
        <v>124880.24934</v>
      </c>
      <c r="G84" s="83">
        <f>IF(SUM('Energy Data Entry'!C105,'Energy Data Entry'!H105,'Energy Data Entry'!M105,'Energy Data Entry'!R105,'Energy Data Entry'!W105)=0,"",SUM('Energy Data Entry'!C105,'Energy Data Entry'!H105,'Energy Data Entry'!M105,'Energy Data Entry'!R105,'Energy Data Entry'!W105))</f>
        <v>154354</v>
      </c>
      <c r="H84" s="83">
        <f>'Energy Data Entry'!AG105</f>
        <v>0</v>
      </c>
      <c r="I84" s="83">
        <f>IF(Table4[[#This Row],[Electric kWh usage]]="","",Table4[[#This Row],[Gas kWh usage]]+Table4[[#This Row],[Electric kWh usage]])</f>
        <v>154354</v>
      </c>
      <c r="J84" s="82">
        <f>IF(OR(Table4[[#This Row],[Electric kWh usage]]="",Table4[[#This Row],[Monthly Flow]]=""),"",(Table4[[#This Row],[Electric kWh usage]]+Table4[[#This Row],[Gas kWh usage]])/Table4[[#This Row],[Monthly Flow]])</f>
        <v>2092.0845757657903</v>
      </c>
      <c r="K84" s="84">
        <f>_xlfn.IFERROR(IF(Table4[[#This Row],[Electric kWh usage]]="","",(Table4[[#This Row],[Electric kWh usage]]+Table4[[#This Row],[Gas kWh usage]])/Table4[[#This Row],[Total BOD removed]]),"")</f>
        <v>1.2360161099595064</v>
      </c>
      <c r="L84" s="83">
        <f>IF('Energy Data Entry'!E105+'Energy Data Entry'!J105+'Energy Data Entry'!O105+'Energy Data Entry'!T105+'Energy Data Entry'!Y105=0,"",'Energy Data Entry'!E105+'Energy Data Entry'!J105+'Energy Data Entry'!O105+'Energy Data Entry'!T105+'Energy Data Entry'!Y105)</f>
        <v>276</v>
      </c>
      <c r="M84" s="83">
        <f>IF('Energy Data Entry'!F105+'Energy Data Entry'!K105+'Energy Data Entry'!P105++'Energy Data Entry'!U105+'Energy Data Entry'!Z105=0,"",'Energy Data Entry'!F105+'Energy Data Entry'!K105+'Energy Data Entry'!P105++'Energy Data Entry'!U105+'Energy Data Entry'!Z105)</f>
        <v>276</v>
      </c>
      <c r="N84" s="85">
        <f>IF('Energy Data Entry'!G105+'Energy Data Entry'!L105+'Energy Data Entry'!Q105+'Energy Data Entry'!V105+'Energy Data Entry'!AA105=0,"",'Energy Data Entry'!G105+'Energy Data Entry'!L105+'Energy Data Entry'!Q105+'Energy Data Entry'!V105+'Energy Data Entry'!AA105)</f>
        <v>3312</v>
      </c>
      <c r="O84" s="85">
        <f>IF('Energy Data Entry'!D105+'Energy Data Entry'!I105+'Energy Data Entry'!N105+'Energy Data Entry'!S105+'Energy Data Entry'!X105=0,"",'Energy Data Entry'!D105+'Energy Data Entry'!I105+'Energy Data Entry'!N105+'Energy Data Entry'!S105+'Energy Data Entry'!X105)</f>
        <v>14888.55</v>
      </c>
      <c r="P84" s="403">
        <f>'Energy Data Entry'!AF105</f>
        <v>0</v>
      </c>
      <c r="Q84" s="151">
        <f>_xlfn.IFERROR(Table4[[#This Row],[Total electric cost]]/Table4[[#This Row],[Electric kWh usage]],"")</f>
        <v>0.0964571698822188</v>
      </c>
      <c r="R84" s="151">
        <f>_xlfn.IFERROR(Table4[[#This Row],[Electric Demand Cost]]/Table4[[#This Row],[Total Electric Demand (Billed)]],_xlfn.IFERROR(Table4[[#This Row],[Electric Demand Cost]]/Table4[[#This Row],[Total Electric Demand (Actual)]],""))</f>
        <v>12</v>
      </c>
      <c r="S84" s="85">
        <f>_xlfn.IFERROR(Table4[[#This Row],[Total Gas cost]]+Table4[[#This Row],[Total electric cost]],"")</f>
        <v>14888.55</v>
      </c>
      <c r="T84" s="111"/>
      <c r="U84" s="85">
        <f>_xlfn.IFERROR(Table4[[#This Row],[Total Energy Cost]]/Table4[[#This Row],[Monthly Flow]],"")</f>
        <v>201.79655733261046</v>
      </c>
      <c r="V84" s="85">
        <f>_xlfn.IFERROR(Table4[[#This Row],[Total Energy Cost]]/Table4[[#This Row],[Total BOD removed]],"")</f>
        <v>0.11922261589552333</v>
      </c>
      <c r="W84" s="116"/>
      <c r="X84" s="86">
        <f>IF('Process Data Entry'!G86="","",'Process Data Entry'!G86)</f>
        <v>33</v>
      </c>
      <c r="Y84" s="86">
        <f>IF('Process Data Entry'!H86="","",'Process Data Entry'!H86)</f>
        <v>12</v>
      </c>
      <c r="Z84" s="86">
        <f>IF('Process Data Entry'!I86="",0,'Process Data Entry'!I86)</f>
        <v>0</v>
      </c>
      <c r="AA84" s="86">
        <f>IF('Process Data Entry'!J86="","",'Process Data Entry'!J86)</f>
        <v>3.2</v>
      </c>
      <c r="AB84" s="86">
        <f>IF('Process Data Entry'!K86="","",'Process Data Entry'!K86)</f>
        <v>0.8</v>
      </c>
      <c r="AC84" s="86">
        <f>IF('Process Data Entry'!L86="","",'Process Data Entry'!L86)</f>
        <v>9.3</v>
      </c>
      <c r="AD84" s="87">
        <f t="shared" si="6"/>
        <v>20.5</v>
      </c>
      <c r="AE84" s="87">
        <f t="shared" si="7"/>
        <v>12614.1666</v>
      </c>
      <c r="AF84" s="150">
        <f>IF('Process Data Entry'!M86="","",'Process Data Entry'!M86)</f>
        <v>7.7</v>
      </c>
      <c r="AG84" s="150">
        <f>IF('Process Data Entry'!N86="","",'Process Data Entry'!N86)</f>
        <v>0.8</v>
      </c>
      <c r="AH84" s="81">
        <f t="shared" si="8"/>
        <v>4245.74388</v>
      </c>
    </row>
    <row r="85" spans="1:34" ht="15">
      <c r="A85" s="78">
        <v>7</v>
      </c>
      <c r="B85" s="88">
        <f>'Energy Data Entry'!B106</f>
        <v>44652</v>
      </c>
      <c r="C85" s="80">
        <f>IF(OR('Process Data Entry'!C87="",'Process Data Entry'!C87=0),"",'Process Data Entry'!C87)</f>
        <v>1.6400000000000001</v>
      </c>
      <c r="D85" s="81">
        <f>IF(Table4[[#This Row],[Avg Daily Flow]]="","",_xlfn.DAYS(EOMONTH(B85,0),EOMONTH(B85,-1))*C85)</f>
        <v>49.2</v>
      </c>
      <c r="E85" s="81">
        <f>IF('Process Data Entry'!F87="","",'Process Data Entry'!F87)</f>
        <v>2278.00428</v>
      </c>
      <c r="F85" s="82">
        <f>IF(Table4[[#This Row],[BOD removed]]="","",Table4[[#This Row],[BOD removed]]*_xlfn.DAYS(EOMONTH(Table4[[#This Row],[Column2]],0),EOMONTH(Table4[[#This Row],[Column2]],-1)))</f>
        <v>68340.1284</v>
      </c>
      <c r="G85" s="83">
        <f>IF(SUM('Energy Data Entry'!C106,'Energy Data Entry'!H106,'Energy Data Entry'!M106,'Energy Data Entry'!R106,'Energy Data Entry'!W106)=0,"",SUM('Energy Data Entry'!C106,'Energy Data Entry'!H106,'Energy Data Entry'!M106,'Energy Data Entry'!R106,'Energy Data Entry'!W106))</f>
        <v>157434</v>
      </c>
      <c r="H85" s="83">
        <f>'Energy Data Entry'!AG106</f>
        <v>0</v>
      </c>
      <c r="I85" s="83">
        <f>IF(Table4[[#This Row],[Electric kWh usage]]="","",Table4[[#This Row],[Gas kWh usage]]+Table4[[#This Row],[Electric kWh usage]])</f>
        <v>157434</v>
      </c>
      <c r="J85" s="82">
        <f>IF(OR(Table4[[#This Row],[Electric kWh usage]]="",Table4[[#This Row],[Monthly Flow]]=""),"",(Table4[[#This Row],[Electric kWh usage]]+Table4[[#This Row],[Gas kWh usage]])/Table4[[#This Row],[Monthly Flow]])</f>
        <v>3199.8780487804875</v>
      </c>
      <c r="K85" s="84">
        <f>_xlfn.IFERROR(IF(Table4[[#This Row],[Electric kWh usage]]="","",(Table4[[#This Row],[Electric kWh usage]]+Table4[[#This Row],[Gas kWh usage]])/Table4[[#This Row],[Total BOD removed]]),"")</f>
        <v>2.303683116872809</v>
      </c>
      <c r="L85" s="83">
        <f>IF('Energy Data Entry'!E106+'Energy Data Entry'!J106+'Energy Data Entry'!O106+'Energy Data Entry'!T106+'Energy Data Entry'!Y106=0,"",'Energy Data Entry'!E106+'Energy Data Entry'!J106+'Energy Data Entry'!O106+'Energy Data Entry'!T106+'Energy Data Entry'!Y106)</f>
        <v>267</v>
      </c>
      <c r="M85" s="83">
        <f>IF('Energy Data Entry'!F106+'Energy Data Entry'!K106+'Energy Data Entry'!P106++'Energy Data Entry'!U106+'Energy Data Entry'!Z106=0,"",'Energy Data Entry'!F106+'Energy Data Entry'!K106+'Energy Data Entry'!P106++'Energy Data Entry'!U106+'Energy Data Entry'!Z106)</f>
        <v>267</v>
      </c>
      <c r="N85" s="85">
        <f>IF('Energy Data Entry'!G106+'Energy Data Entry'!L106+'Energy Data Entry'!Q106+'Energy Data Entry'!V106+'Energy Data Entry'!AA106=0,"",'Energy Data Entry'!G106+'Energy Data Entry'!L106+'Energy Data Entry'!Q106+'Energy Data Entry'!V106+'Energy Data Entry'!AA106)</f>
        <v>4005</v>
      </c>
      <c r="O85" s="85">
        <f>IF('Energy Data Entry'!D106+'Energy Data Entry'!I106+'Energy Data Entry'!N106+'Energy Data Entry'!S106+'Energy Data Entry'!X106=0,"",'Energy Data Entry'!D106+'Energy Data Entry'!I106+'Energy Data Entry'!N106+'Energy Data Entry'!S106+'Energy Data Entry'!X106)</f>
        <v>15812.55</v>
      </c>
      <c r="P85" s="403">
        <f>'Energy Data Entry'!AF106</f>
        <v>0</v>
      </c>
      <c r="Q85" s="151">
        <f>_xlfn.IFERROR(Table4[[#This Row],[Total electric cost]]/Table4[[#This Row],[Electric kWh usage]],"")</f>
        <v>0.1004392316780365</v>
      </c>
      <c r="R85" s="151">
        <f>_xlfn.IFERROR(Table4[[#This Row],[Electric Demand Cost]]/Table4[[#This Row],[Total Electric Demand (Billed)]],_xlfn.IFERROR(Table4[[#This Row],[Electric Demand Cost]]/Table4[[#This Row],[Total Electric Demand (Actual)]],""))</f>
        <v>15</v>
      </c>
      <c r="S85" s="85">
        <f>_xlfn.IFERROR(Table4[[#This Row],[Total Gas cost]]+Table4[[#This Row],[Total electric cost]],"")</f>
        <v>15812.55</v>
      </c>
      <c r="T85" s="111"/>
      <c r="U85" s="85">
        <f>_xlfn.IFERROR(Table4[[#This Row],[Total Energy Cost]]/Table4[[#This Row],[Monthly Flow]],"")</f>
        <v>321.3932926829268</v>
      </c>
      <c r="V85" s="85">
        <f>_xlfn.IFERROR(Table4[[#This Row],[Total Energy Cost]]/Table4[[#This Row],[Total BOD removed]],"")</f>
        <v>0.23138016228836936</v>
      </c>
      <c r="W85" s="116"/>
      <c r="X85" s="86">
        <f>IF('Process Data Entry'!G87="","",'Process Data Entry'!G87)</f>
        <v>32</v>
      </c>
      <c r="Y85" s="86">
        <f>IF('Process Data Entry'!H87="","",'Process Data Entry'!H87)</f>
        <v>12</v>
      </c>
      <c r="Z85" s="86">
        <f>IF('Process Data Entry'!I87="",0,'Process Data Entry'!I87)</f>
        <v>0</v>
      </c>
      <c r="AA85" s="86">
        <f>IF('Process Data Entry'!J87="","",'Process Data Entry'!J87)</f>
        <v>3.1</v>
      </c>
      <c r="AB85" s="86">
        <f>IF('Process Data Entry'!K87="","",'Process Data Entry'!K87)</f>
        <v>1</v>
      </c>
      <c r="AC85" s="86">
        <f>IF('Process Data Entry'!L87="","",'Process Data Entry'!L87)</f>
        <v>6.6</v>
      </c>
      <c r="AD85" s="87">
        <f t="shared" si="6"/>
        <v>22.3</v>
      </c>
      <c r="AE85" s="87">
        <f t="shared" si="7"/>
        <v>9150.314400000001</v>
      </c>
      <c r="AF85" s="150">
        <f>IF('Process Data Entry'!M87="","",'Process Data Entry'!M87)</f>
        <v>8.5</v>
      </c>
      <c r="AG85" s="150">
        <f>IF('Process Data Entry'!N87="","",'Process Data Entry'!N87)</f>
        <v>1.1</v>
      </c>
      <c r="AH85" s="81">
        <f t="shared" si="8"/>
        <v>3036.4272000000005</v>
      </c>
    </row>
    <row r="86" spans="1:34" ht="15">
      <c r="A86" s="78">
        <v>7</v>
      </c>
      <c r="B86" s="88">
        <f>'Energy Data Entry'!B107</f>
        <v>44682</v>
      </c>
      <c r="C86" s="80">
        <f>IF(OR('Process Data Entry'!C88="",'Process Data Entry'!C88=0),"",'Process Data Entry'!C88)</f>
        <v>1.6</v>
      </c>
      <c r="D86" s="81">
        <f>IF(Table4[[#This Row],[Avg Daily Flow]]="","",_xlfn.DAYS(EOMONTH(B86,0),EOMONTH(B86,-1))*C86)</f>
        <v>49.6</v>
      </c>
      <c r="E86" s="81">
        <f>IF('Process Data Entry'!F88="","",'Process Data Entry'!F88)</f>
        <v>2034.96</v>
      </c>
      <c r="F86" s="82">
        <f>IF(Table4[[#This Row],[BOD removed]]="","",Table4[[#This Row],[BOD removed]]*_xlfn.DAYS(EOMONTH(Table4[[#This Row],[Column2]],0),EOMONTH(Table4[[#This Row],[Column2]],-1)))</f>
        <v>63083.76</v>
      </c>
      <c r="G86" s="83">
        <f>IF(SUM('Energy Data Entry'!C107,'Energy Data Entry'!H107,'Energy Data Entry'!M107,'Energy Data Entry'!R107,'Energy Data Entry'!W107)=0,"",SUM('Energy Data Entry'!C107,'Energy Data Entry'!H107,'Energy Data Entry'!M107,'Energy Data Entry'!R107,'Energy Data Entry'!W107))</f>
        <v>153539</v>
      </c>
      <c r="H86" s="83">
        <f>'Energy Data Entry'!AG107</f>
        <v>0</v>
      </c>
      <c r="I86" s="83">
        <f>IF(Table4[[#This Row],[Electric kWh usage]]="","",Table4[[#This Row],[Gas kWh usage]]+Table4[[#This Row],[Electric kWh usage]])</f>
        <v>153539</v>
      </c>
      <c r="J86" s="82">
        <f>IF(OR(Table4[[#This Row],[Electric kWh usage]]="",Table4[[#This Row],[Monthly Flow]]=""),"",(Table4[[#This Row],[Electric kWh usage]]+Table4[[#This Row],[Gas kWh usage]])/Table4[[#This Row],[Monthly Flow]])</f>
        <v>3095.5443548387098</v>
      </c>
      <c r="K86" s="84">
        <f>_xlfn.IFERROR(IF(Table4[[#This Row],[Electric kWh usage]]="","",(Table4[[#This Row],[Electric kWh usage]]+Table4[[#This Row],[Gas kWh usage]])/Table4[[#This Row],[Total BOD removed]]),"")</f>
        <v>2.433891068002288</v>
      </c>
      <c r="L86" s="83">
        <f>IF('Energy Data Entry'!E107+'Energy Data Entry'!J107+'Energy Data Entry'!O107+'Energy Data Entry'!T107+'Energy Data Entry'!Y107=0,"",'Energy Data Entry'!E107+'Energy Data Entry'!J107+'Energy Data Entry'!O107+'Energy Data Entry'!T107+'Energy Data Entry'!Y107)</f>
        <v>278</v>
      </c>
      <c r="M86" s="83">
        <f>IF('Energy Data Entry'!F107+'Energy Data Entry'!K107+'Energy Data Entry'!P107++'Energy Data Entry'!U107+'Energy Data Entry'!Z107=0,"",'Energy Data Entry'!F107+'Energy Data Entry'!K107+'Energy Data Entry'!P107++'Energy Data Entry'!U107+'Energy Data Entry'!Z107)</f>
        <v>278</v>
      </c>
      <c r="N86" s="85">
        <f>IF('Energy Data Entry'!G107+'Energy Data Entry'!L107+'Energy Data Entry'!Q107+'Energy Data Entry'!V107+'Energy Data Entry'!AA107=0,"",'Energy Data Entry'!G107+'Energy Data Entry'!L107+'Energy Data Entry'!Q107+'Energy Data Entry'!V107+'Energy Data Entry'!AA107)</f>
        <v>4170</v>
      </c>
      <c r="O86" s="85">
        <f>IF('Energy Data Entry'!D107+'Energy Data Entry'!I107+'Energy Data Entry'!N107+'Energy Data Entry'!S107+'Energy Data Entry'!X107=0,"",'Energy Data Entry'!D107+'Energy Data Entry'!I107+'Energy Data Entry'!N107+'Energy Data Entry'!S107+'Energy Data Entry'!X107)</f>
        <v>15685.425</v>
      </c>
      <c r="P86" s="403">
        <f>'Energy Data Entry'!AF107</f>
        <v>0</v>
      </c>
      <c r="Q86" s="151">
        <f>_xlfn.IFERROR(Table4[[#This Row],[Total electric cost]]/Table4[[#This Row],[Electric kWh usage]],"")</f>
        <v>0.10215922338949712</v>
      </c>
      <c r="R86" s="151">
        <f>_xlfn.IFERROR(Table4[[#This Row],[Electric Demand Cost]]/Table4[[#This Row],[Total Electric Demand (Billed)]],_xlfn.IFERROR(Table4[[#This Row],[Electric Demand Cost]]/Table4[[#This Row],[Total Electric Demand (Actual)]],""))</f>
        <v>15</v>
      </c>
      <c r="S86" s="85">
        <f>_xlfn.IFERROR(Table4[[#This Row],[Total Gas cost]]+Table4[[#This Row],[Total electric cost]],"")</f>
        <v>15685.425</v>
      </c>
      <c r="T86" s="111"/>
      <c r="U86" s="85">
        <f>_xlfn.IFERROR(Table4[[#This Row],[Total Energy Cost]]/Table4[[#This Row],[Monthly Flow]],"")</f>
        <v>316.2384072580645</v>
      </c>
      <c r="V86" s="85">
        <f>_xlfn.IFERROR(Table4[[#This Row],[Total Energy Cost]]/Table4[[#This Row],[Total BOD removed]],"")</f>
        <v>0.24864442132174744</v>
      </c>
      <c r="W86" s="116"/>
      <c r="X86" s="86">
        <f>IF('Process Data Entry'!G88="","",'Process Data Entry'!G88)</f>
        <v>31</v>
      </c>
      <c r="Y86" s="86">
        <f>IF('Process Data Entry'!H88="","",'Process Data Entry'!H88)</f>
        <v>12</v>
      </c>
      <c r="Z86" s="86">
        <f>IF('Process Data Entry'!I88="",0,'Process Data Entry'!I88)</f>
        <v>0</v>
      </c>
      <c r="AA86" s="86">
        <f>IF('Process Data Entry'!J88="","",'Process Data Entry'!J88)</f>
        <v>2.9</v>
      </c>
      <c r="AB86" s="86">
        <f>IF('Process Data Entry'!K88="","",'Process Data Entry'!K88)</f>
        <v>1.7</v>
      </c>
      <c r="AC86" s="86">
        <f>IF('Process Data Entry'!L88="","",'Process Data Entry'!L88)</f>
        <v>7.3</v>
      </c>
      <c r="AD86" s="87">
        <f t="shared" si="6"/>
        <v>20.8</v>
      </c>
      <c r="AE86" s="87">
        <f t="shared" si="7"/>
        <v>8604.2112</v>
      </c>
      <c r="AF86" s="150">
        <f>IF('Process Data Entry'!M88="","",'Process Data Entry'!M88)</f>
        <v>7.2</v>
      </c>
      <c r="AG86" s="150">
        <f>IF('Process Data Entry'!N88="","",'Process Data Entry'!N88)</f>
        <v>0.6</v>
      </c>
      <c r="AH86" s="81">
        <f t="shared" si="8"/>
        <v>2730.1824</v>
      </c>
    </row>
    <row r="87" spans="1:34" s="105" customFormat="1" ht="15" thickBot="1">
      <c r="A87" s="97">
        <v>7</v>
      </c>
      <c r="B87" s="107">
        <f>'Energy Data Entry'!B108</f>
        <v>44713</v>
      </c>
      <c r="C87" s="355">
        <f>IF(OR('Process Data Entry'!C89="",'Process Data Entry'!C89=0),"",'Process Data Entry'!C89)</f>
        <v>1.54</v>
      </c>
      <c r="D87" s="99">
        <f>IF(Table4[[#This Row],[Avg Daily Flow]]="","",_xlfn.DAYS(EOMONTH(B87,0),EOMONTH(B87,-1))*C87)</f>
        <v>46.2</v>
      </c>
      <c r="E87" s="99">
        <f>IF('Process Data Entry'!F89="","",'Process Data Entry'!F89)</f>
        <v>1771.13244</v>
      </c>
      <c r="F87" s="100">
        <f>IF(Table4[[#This Row],[BOD removed]]="","",Table4[[#This Row],[BOD removed]]*_xlfn.DAYS(EOMONTH(Table4[[#This Row],[Column2]],0),EOMONTH(Table4[[#This Row],[Column2]],-1)))</f>
        <v>53133.9732</v>
      </c>
      <c r="G87" s="101">
        <f>IF(SUM('Energy Data Entry'!C108,'Energy Data Entry'!H108,'Energy Data Entry'!M108,'Energy Data Entry'!R108,'Energy Data Entry'!W108)=0,"",SUM('Energy Data Entry'!C108,'Energy Data Entry'!H108,'Energy Data Entry'!M108,'Energy Data Entry'!R108,'Energy Data Entry'!W108))</f>
        <v>113882</v>
      </c>
      <c r="H87" s="101">
        <f>'Energy Data Entry'!AG108</f>
        <v>0</v>
      </c>
      <c r="I87" s="101">
        <f>IF(Table4[[#This Row],[Electric kWh usage]]="","",Table4[[#This Row],[Gas kWh usage]]+Table4[[#This Row],[Electric kWh usage]])</f>
        <v>113882</v>
      </c>
      <c r="J87" s="100">
        <f>IF(OR(Table4[[#This Row],[Electric kWh usage]]="",Table4[[#This Row],[Monthly Flow]]=""),"",(Table4[[#This Row],[Electric kWh usage]]+Table4[[#This Row],[Gas kWh usage]])/Table4[[#This Row],[Monthly Flow]])</f>
        <v>2464.9783549783547</v>
      </c>
      <c r="K87" s="102">
        <f>_xlfn.IFERROR(IF(Table4[[#This Row],[Electric kWh usage]]="","",(Table4[[#This Row],[Electric kWh usage]]+Table4[[#This Row],[Gas kWh usage]])/Table4[[#This Row],[Total BOD removed]]),"")</f>
        <v>2.1432991576093916</v>
      </c>
      <c r="L87" s="101">
        <f>IF('Energy Data Entry'!E108+'Energy Data Entry'!J108+'Energy Data Entry'!O108+'Energy Data Entry'!T108+'Energy Data Entry'!Y108=0,"",'Energy Data Entry'!E108+'Energy Data Entry'!J108+'Energy Data Entry'!O108+'Energy Data Entry'!T108+'Energy Data Entry'!Y108)</f>
        <v>179</v>
      </c>
      <c r="M87" s="101">
        <f>IF('Energy Data Entry'!F108+'Energy Data Entry'!K108+'Energy Data Entry'!P108++'Energy Data Entry'!U108+'Energy Data Entry'!Z108=0,"",'Energy Data Entry'!F108+'Energy Data Entry'!K108+'Energy Data Entry'!P108++'Energy Data Entry'!U108+'Energy Data Entry'!Z108)</f>
        <v>195</v>
      </c>
      <c r="N87" s="103">
        <f>IF('Energy Data Entry'!G108+'Energy Data Entry'!L108+'Energy Data Entry'!Q108+'Energy Data Entry'!V108+'Energy Data Entry'!AA108=0,"",'Energy Data Entry'!G108+'Energy Data Entry'!L108+'Energy Data Entry'!Q108+'Energy Data Entry'!V108+'Energy Data Entry'!AA108)</f>
        <v>2925</v>
      </c>
      <c r="O87" s="103">
        <f>IF('Energy Data Entry'!D108+'Energy Data Entry'!I108+'Energy Data Entry'!N108+'Energy Data Entry'!S108+'Energy Data Entry'!X108=0,"",'Energy Data Entry'!D108+'Energy Data Entry'!I108+'Energy Data Entry'!N108+'Energy Data Entry'!S108+'Energy Data Entry'!X108)</f>
        <v>11466.15</v>
      </c>
      <c r="P87" s="404">
        <f>'Energy Data Entry'!AF108</f>
        <v>0</v>
      </c>
      <c r="Q87" s="152">
        <f>_xlfn.IFERROR(Table4[[#This Row],[Total electric cost]]/Table4[[#This Row],[Electric kWh usage]],"")</f>
        <v>0.10068448042710876</v>
      </c>
      <c r="R87" s="152">
        <f>_xlfn.IFERROR(Table4[[#This Row],[Electric Demand Cost]]/Table4[[#This Row],[Total Electric Demand (Billed)]],_xlfn.IFERROR(Table4[[#This Row],[Electric Demand Cost]]/Table4[[#This Row],[Total Electric Demand (Actual)]],""))</f>
        <v>15</v>
      </c>
      <c r="S87" s="103">
        <f>_xlfn.IFERROR(Table4[[#This Row],[Total Gas cost]]+Table4[[#This Row],[Total electric cost]],"")</f>
        <v>11466.15</v>
      </c>
      <c r="T87" s="112"/>
      <c r="U87" s="103">
        <f>_xlfn.IFERROR(Table4[[#This Row],[Total Energy Cost]]/Table4[[#This Row],[Monthly Flow]],"")</f>
        <v>248.1850649350649</v>
      </c>
      <c r="V87" s="103">
        <f>_xlfn.IFERROR(Table4[[#This Row],[Total Energy Cost]]/Table4[[#This Row],[Total BOD removed]],"")</f>
        <v>0.2157969620837615</v>
      </c>
      <c r="W87" s="356"/>
      <c r="X87" s="104">
        <f>IF('Process Data Entry'!G89="","",'Process Data Entry'!G89)</f>
        <v>36</v>
      </c>
      <c r="Y87" s="104">
        <f>IF('Process Data Entry'!H89="","",'Process Data Entry'!H89)</f>
        <v>16</v>
      </c>
      <c r="Z87" s="104">
        <f>IF('Process Data Entry'!I89="",0,'Process Data Entry'!I89)</f>
        <v>0</v>
      </c>
      <c r="AA87" s="104">
        <f>IF('Process Data Entry'!J89="","",'Process Data Entry'!J89)</f>
        <v>3.1</v>
      </c>
      <c r="AB87" s="104">
        <f>IF('Process Data Entry'!K89="","",'Process Data Entry'!K89)</f>
        <v>1.5</v>
      </c>
      <c r="AC87" s="104">
        <f>IF('Process Data Entry'!L89="","",'Process Data Entry'!L89)</f>
        <v>6.8</v>
      </c>
      <c r="AD87" s="357">
        <f t="shared" si="6"/>
        <v>26.1</v>
      </c>
      <c r="AE87" s="357">
        <f t="shared" si="7"/>
        <v>10056.538800000002</v>
      </c>
      <c r="AF87" s="358">
        <f>IF('Process Data Entry'!M89="","",'Process Data Entry'!M89)</f>
        <v>8.1</v>
      </c>
      <c r="AG87" s="358">
        <f>IF('Process Data Entry'!N89="","",'Process Data Entry'!N89)</f>
        <v>0.6</v>
      </c>
      <c r="AH87" s="99">
        <f t="shared" si="8"/>
        <v>2889.81</v>
      </c>
    </row>
    <row r="88" ht="15">
      <c r="B88" s="56"/>
    </row>
    <row r="89" ht="15">
      <c r="B89" s="56"/>
    </row>
    <row r="90" ht="15">
      <c r="B90" s="56"/>
    </row>
    <row r="91" ht="15">
      <c r="B91" s="56"/>
    </row>
    <row r="92" ht="15">
      <c r="B92" s="56"/>
    </row>
    <row r="93" ht="15">
      <c r="B93" s="56"/>
    </row>
    <row r="94" ht="15" thickBot="1">
      <c r="B94" s="56"/>
    </row>
    <row r="95" spans="2:24" ht="15">
      <c r="B95" s="119"/>
      <c r="C95" s="120"/>
      <c r="D95" s="120"/>
      <c r="E95" s="120"/>
      <c r="F95" s="121" t="s">
        <v>94</v>
      </c>
      <c r="G95" s="120"/>
      <c r="H95" s="120"/>
      <c r="I95" s="122"/>
      <c r="X95" t="s">
        <v>121</v>
      </c>
    </row>
    <row r="96" spans="1:30" s="52" customFormat="1" ht="43.5">
      <c r="A96" s="53"/>
      <c r="B96" s="123"/>
      <c r="C96" s="124" t="s">
        <v>81</v>
      </c>
      <c r="D96" s="125" t="s">
        <v>44</v>
      </c>
      <c r="E96" s="125" t="s">
        <v>85</v>
      </c>
      <c r="F96" s="125" t="s">
        <v>86</v>
      </c>
      <c r="G96" s="125" t="s">
        <v>90</v>
      </c>
      <c r="H96" s="125" t="s">
        <v>114</v>
      </c>
      <c r="I96" s="126" t="s">
        <v>93</v>
      </c>
      <c r="L96" s="381"/>
      <c r="M96" s="381"/>
      <c r="S96" s="110"/>
      <c r="V96" s="117"/>
      <c r="W96" s="158" t="s">
        <v>59</v>
      </c>
      <c r="X96" s="158"/>
      <c r="Y96" s="158" t="s">
        <v>170</v>
      </c>
      <c r="Z96" s="158" t="s">
        <v>171</v>
      </c>
      <c r="AA96" s="158" t="s">
        <v>169</v>
      </c>
      <c r="AB96" s="158" t="str">
        <f>IF(COUNT(Table4[Avg effluent TKN])&gt;=COUNT(Table4[Avg effluent NH3]),Y96,Z96)</f>
        <v>TKN (mg/L)</v>
      </c>
      <c r="AC96" s="158" t="s">
        <v>99</v>
      </c>
      <c r="AD96" s="158" t="s">
        <v>111</v>
      </c>
    </row>
    <row r="97" spans="1:30" s="52" customFormat="1" ht="29">
      <c r="A97" s="53"/>
      <c r="B97" s="123" t="s">
        <v>59</v>
      </c>
      <c r="C97" s="127"/>
      <c r="D97" s="54" t="s">
        <v>47</v>
      </c>
      <c r="E97" s="54" t="s">
        <v>46</v>
      </c>
      <c r="F97" s="125"/>
      <c r="G97" s="125"/>
      <c r="H97" s="125"/>
      <c r="I97" s="126"/>
      <c r="L97" s="381"/>
      <c r="M97" s="381"/>
      <c r="S97" s="110"/>
      <c r="V97" s="117"/>
      <c r="W97" s="52">
        <v>1</v>
      </c>
      <c r="X97" s="129" t="str">
        <f>TEXT(DATE(YEAR(B$4),MONTH(B$4),DAY(B$4)),"mmm yyyy")&amp;" - "&amp;TEXT(DATE(YEAR(B$15),MONTH(B$15),DAY(B$15)),"mmm yyyy")</f>
        <v>Jul 2015 - Jun 2016</v>
      </c>
      <c r="Y97" s="148">
        <f>_xlfn.IFERROR(AVERAGEIF(Table4[Year],W97,Table4[Avg effluent TKN]),"")</f>
        <v>2.9666666666666663</v>
      </c>
      <c r="Z97" s="148">
        <f>_xlfn.IFERROR(AVERAGEIF(Table4[Year],W97,Table4[Avg effluent NH3]),"")</f>
        <v>1.2166666666666666</v>
      </c>
      <c r="AA97" s="148">
        <f>_xlfn.IFERROR(AVERAGEIF(Table4[Year],W97,Table4[Avg effluent NOx]),"")</f>
        <v>15.350000000000001</v>
      </c>
      <c r="AB97" s="148">
        <f>IF(AB$96=Y$96,Y97,Z97)</f>
        <v>2.9666666666666663</v>
      </c>
      <c r="AC97" s="149"/>
      <c r="AD97" s="161">
        <f>_xlfn.IFERROR(IF(SUMPRODUCT(--(Table4[Year]=W97),--(Table4[Monthly Flow]&lt;&gt;""))/SUMPRODUCT(--(Table4[Year]=W97),--(Table4[Approx TN removal (lbs)]&lt;&gt;""))&lt;=3,AVERAGEIF(Table4[Year],W97,Table4[Approx TN removal (lbs)]),"Insufficient Data"),"")</f>
        <v>7454.664519999999</v>
      </c>
    </row>
    <row r="98" spans="2:30" ht="29">
      <c r="B98" s="128">
        <v>1</v>
      </c>
      <c r="C98" s="129" t="str">
        <f>TEXT(DATE(YEAR(B$4),MONTH(B$4),DAY(B$4)),"mmm yyyy")&amp;" - "&amp;TEXT(DATE(YEAR(B$15),MONTH(B$15),DAY(B$15)),"mmm yyyy")</f>
        <v>Jul 2015 - Jun 2016</v>
      </c>
      <c r="D98" s="130">
        <f>_xlfn.IFERROR(AVERAGEIF(Table4[Year],B98,Table4[Avg Daily Flow]),"")</f>
        <v>1.89</v>
      </c>
      <c r="E98" s="131">
        <f>SUMIF(Table4[Year],B98,Table4[Monthly Flow])</f>
        <v>691.7600000000001</v>
      </c>
      <c r="F98" s="163">
        <f>SUMPRODUCT(Table4[Monthly Flow],--(Table4[Year]=B98),--(Table4[Monthly Flow]&lt;&gt;""),--(Table4[Total Energy Usage]&lt;&gt;""))</f>
        <v>691.7600000000001</v>
      </c>
      <c r="G98" s="133">
        <f>SUMPRODUCT(Table4[Total Energy Usage],--(Table4[Year]=B98),--(Table4[Monthly Flow]&lt;&gt;""),--(Table4[Electric kWh usage]&lt;&gt;""))</f>
        <v>2024979.04</v>
      </c>
      <c r="H98" s="141">
        <f aca="true" t="shared" si="9" ref="H98:H104">G98/F98</f>
        <v>2927.285532554643</v>
      </c>
      <c r="I98" s="134">
        <f>SUMPRODUCT(--(Table4[Monthly Flow]&lt;&gt;""),--(Table4[Total Energy Usage]&lt;&gt;""),--(Table4[Year]=B98))</f>
        <v>12</v>
      </c>
      <c r="K98" s="59"/>
      <c r="L98" s="382"/>
      <c r="M98" s="382"/>
      <c r="N98" s="60"/>
      <c r="O98" s="118"/>
      <c r="P98" s="118"/>
      <c r="Q98" s="118"/>
      <c r="W98">
        <v>2</v>
      </c>
      <c r="X98" s="129" t="str">
        <f>TEXT(DATE(YEAR(B$16),MONTH(B$16),DAY(B$16)),"mmm yyyy")&amp;" - "&amp;TEXT(DATE(YEAR(B$27),MONTH(B$27),DAY(B$27)),"mmm yyyy")</f>
        <v>Jul 2016 - Jun 2017</v>
      </c>
      <c r="Y98" s="148">
        <f>_xlfn.IFERROR(AVERAGEIF(Table4[Year],W98,Table4[Avg effluent TKN]),"")</f>
        <v>2.983333333333334</v>
      </c>
      <c r="Z98" s="148">
        <f>_xlfn.IFERROR(AVERAGEIF(Table4[Year],W98,Table4[Avg effluent NH3]),"")</f>
        <v>1.2333333333333334</v>
      </c>
      <c r="AA98" s="148">
        <f>_xlfn.IFERROR(AVERAGEIF(Table4[Year],W98,Table4[Avg effluent NOx]),"")</f>
        <v>14.5</v>
      </c>
      <c r="AB98" s="148">
        <f aca="true" t="shared" si="10" ref="AB98:AB103">IF(AB$96=Y$96,Y98,Z98)</f>
        <v>2.983333333333334</v>
      </c>
      <c r="AC98" s="149"/>
      <c r="AD98" s="161">
        <f>_xlfn.IFERROR(IF(SUMPRODUCT(--(Table4[Year]=W98),--(Table4[Monthly Flow]&lt;&gt;""))/SUMPRODUCT(--(Table4[Year]=W98),--(Table4[Approx TN removal (lbs)]&lt;&gt;""))&lt;=3,AVERAGEIF(Table4[Year],W98,Table4[Approx TN removal (lbs)]),"Insufficient Data"),"")</f>
        <v>9327.589439999998</v>
      </c>
    </row>
    <row r="99" spans="2:30" ht="29">
      <c r="B99" s="128">
        <v>2</v>
      </c>
      <c r="C99" s="129" t="str">
        <f>TEXT(DATE(YEAR(B$16),MONTH(B$16),DAY(B$16)),"mmm yyyy")&amp;" - "&amp;TEXT(DATE(YEAR(B$27),MONTH(B$27),DAY(B$27)),"mmm yyyy")</f>
        <v>Jul 2016 - Jun 2017</v>
      </c>
      <c r="D99" s="130">
        <f>_xlfn.IFERROR(AVERAGEIF(Table4[Year],B99,Table4[Avg Daily Flow]),"")</f>
        <v>2.1450000000000005</v>
      </c>
      <c r="E99" s="131">
        <f>SUMIF(Table4[Year],B99,Table4[Monthly Flow])</f>
        <v>784.5999999999999</v>
      </c>
      <c r="F99" s="163">
        <f>SUMPRODUCT(Table4[Monthly Flow],--(Table4[Year]=B99),--(Table4[Monthly Flow]&lt;&gt;""),--(Table4[Total Energy Usage]&lt;&gt;""))</f>
        <v>784.5999999999999</v>
      </c>
      <c r="G99" s="133">
        <f>SUMPRODUCT(Table4[Total Energy Usage],--(Table4[Year]=B99),--(Table4[Monthly Flow]&lt;&gt;""),--(Table4[Electric kWh usage]&lt;&gt;""))</f>
        <v>2130985.3600000003</v>
      </c>
      <c r="H99" s="141">
        <f t="shared" si="9"/>
        <v>2716.0149885291876</v>
      </c>
      <c r="I99" s="134">
        <f>SUMPRODUCT(--(Table4[Monthly Flow]&lt;&gt;""),--(Table4[Total Energy Usage]&lt;&gt;""),--(Table4[Year]=B99))</f>
        <v>12</v>
      </c>
      <c r="K99" s="59"/>
      <c r="L99" s="382"/>
      <c r="M99" s="382"/>
      <c r="N99" s="60"/>
      <c r="O99" s="118"/>
      <c r="P99" s="118"/>
      <c r="Q99" s="118"/>
      <c r="W99">
        <v>3</v>
      </c>
      <c r="X99" s="129" t="str">
        <f>TEXT(DATE(YEAR(B$28),MONTH(B$28),DAY(B$28)),"mmm yyyy")&amp;" - "&amp;TEXT(DATE(YEAR(B$39),MONTH(B$39),DAY(B$39)),"mmm yyyy")</f>
        <v>Jul 2017 - Jun 2018</v>
      </c>
      <c r="Y99" s="148">
        <f>_xlfn.IFERROR(AVERAGEIF(Table4[Year],W99,Table4[Avg effluent TKN]),"")</f>
        <v>2.891666666666666</v>
      </c>
      <c r="Z99" s="148">
        <f>_xlfn.IFERROR(AVERAGEIF(Table4[Year],W99,Table4[Avg effluent NH3]),"")</f>
        <v>1.1666666666666667</v>
      </c>
      <c r="AA99" s="148">
        <f>_xlfn.IFERROR(AVERAGEIF(Table4[Year],W99,Table4[Avg effluent NOx]),"")</f>
        <v>10.25</v>
      </c>
      <c r="AB99" s="148">
        <f t="shared" si="10"/>
        <v>2.891666666666666</v>
      </c>
      <c r="AC99" s="149"/>
      <c r="AD99" s="161">
        <f>_xlfn.IFERROR(IF(SUMPRODUCT(--(Table4[Year]=W99),--(Table4[Monthly Flow]&lt;&gt;""))/SUMPRODUCT(--(Table4[Year]=W99),--(Table4[Approx TN removal (lbs)]&lt;&gt;""))&lt;=3,AVERAGEIF(Table4[Year],W99,Table4[Approx TN removal (lbs)]),"Insufficient Data"),"")</f>
        <v>11030.14623</v>
      </c>
    </row>
    <row r="100" spans="2:30" ht="29">
      <c r="B100" s="128">
        <v>3</v>
      </c>
      <c r="C100" s="129" t="str">
        <f>TEXT(DATE(YEAR(B$28),MONTH(B$28),DAY(B$28)),"mmm yyyy")&amp;" - "&amp;TEXT(DATE(YEAR(B$39),MONTH(B$39),DAY(B$39)),"mmm yyyy")</f>
        <v>Jul 2017 - Jun 2018</v>
      </c>
      <c r="D100" s="130">
        <f>_xlfn.IFERROR(AVERAGEIF(Table4[Year],B100,Table4[Avg Daily Flow]),"")</f>
        <v>1.9883333333333333</v>
      </c>
      <c r="E100" s="131">
        <f>SUMIF(Table4[Year],B100,Table4[Monthly Flow])</f>
        <v>725.16</v>
      </c>
      <c r="F100" s="163">
        <f>SUMPRODUCT(Table4[Monthly Flow],--(Table4[Year]=B100),--(Table4[Monthly Flow]&lt;&gt;""),--(Table4[Total Energy Usage]&lt;&gt;""))</f>
        <v>725.16</v>
      </c>
      <c r="G100" s="133">
        <f>SUMPRODUCT(Table4[Total Energy Usage],--(Table4[Year]=B100),--(Table4[Monthly Flow]&lt;&gt;""),--(Table4[Electric kWh usage]&lt;&gt;""))</f>
        <v>1836807</v>
      </c>
      <c r="H100" s="141">
        <f t="shared" si="9"/>
        <v>2532.96789674003</v>
      </c>
      <c r="I100" s="134">
        <f>SUMPRODUCT(--(Table4[Monthly Flow]&lt;&gt;""),--(Table4[Total Energy Usage]&lt;&gt;""),--(Table4[Year]=B100))</f>
        <v>12</v>
      </c>
      <c r="K100" s="59"/>
      <c r="L100" s="382"/>
      <c r="M100" s="382"/>
      <c r="N100" s="60"/>
      <c r="O100" s="118"/>
      <c r="P100" s="118"/>
      <c r="Q100" s="118"/>
      <c r="W100">
        <v>4</v>
      </c>
      <c r="X100" s="129" t="str">
        <f>TEXT(DATE(YEAR(B$40),MONTH(B$40),DAY(B$40)),"mmm yyyy")&amp;" - "&amp;TEXT(DATE(YEAR(B$51),MONTH(B$51),DAY(B$51)),"mmm yyyy")</f>
        <v>Jul 2018 - Jun 2019</v>
      </c>
      <c r="Y100" s="148">
        <f>_xlfn.IFERROR(AVERAGEIF(Table4[Year],W100,Table4[Avg effluent TKN]),"")</f>
        <v>3.0916666666666672</v>
      </c>
      <c r="Z100" s="148">
        <f>_xlfn.IFERROR(AVERAGEIF(Table4[Year],W100,Table4[Avg effluent NH3]),"")</f>
        <v>1.2166666666666668</v>
      </c>
      <c r="AA100" s="148">
        <f>_xlfn.IFERROR(AVERAGEIF(Table4[Year],W100,Table4[Avg effluent NOx]),"")</f>
        <v>10.141666666666667</v>
      </c>
      <c r="AB100" s="148">
        <f t="shared" si="10"/>
        <v>3.0916666666666672</v>
      </c>
      <c r="AC100" s="149"/>
      <c r="AD100" s="161">
        <f>_xlfn.IFERROR(IF(SUMPRODUCT(--(Table4[Year]=W100),--(Table4[Monthly Flow]&lt;&gt;""))/SUMPRODUCT(--(Table4[Year]=W100),--(Table4[Approx TN removal (lbs)]&lt;&gt;""))&lt;=3,AVERAGEIF(Table4[Year],W100,Table4[Approx TN removal (lbs)]),"Insufficient Data"),"")</f>
        <v>11252.23348</v>
      </c>
    </row>
    <row r="101" spans="2:30" ht="29">
      <c r="B101" s="128">
        <v>4</v>
      </c>
      <c r="C101" s="129" t="str">
        <f>TEXT(DATE(YEAR(B$40),MONTH(B$40),DAY(B$40)),"mmm yyyy")&amp;" - "&amp;TEXT(DATE(YEAR(B$51),MONTH(B$51),DAY(B$51)),"mmm yyyy")</f>
        <v>Jul 2018 - Jun 2019</v>
      </c>
      <c r="D101" s="130">
        <f>_xlfn.IFERROR(AVERAGEIF(Table4[Year],B101,Table4[Avg Daily Flow]),"")</f>
        <v>2.0366666666666666</v>
      </c>
      <c r="E101" s="131">
        <f>SUMIF(Table4[Year],B101,Table4[Monthly Flow])</f>
        <v>745.08</v>
      </c>
      <c r="F101" s="163">
        <f>SUMPRODUCT(Table4[Monthly Flow],--(Table4[Year]=B101),--(Table4[Monthly Flow]&lt;&gt;""),--(Table4[Total Energy Usage]&lt;&gt;""))</f>
        <v>745.08</v>
      </c>
      <c r="G101" s="133">
        <f>SUMPRODUCT(Table4[Total Energy Usage],--(Table4[Year]=B101),--(Table4[Monthly Flow]&lt;&gt;""),--(Table4[Electric kWh usage]&lt;&gt;""))</f>
        <v>1922105</v>
      </c>
      <c r="H101" s="141">
        <f t="shared" si="9"/>
        <v>2579.729693455736</v>
      </c>
      <c r="I101" s="134">
        <f>SUMPRODUCT(--(Table4[Monthly Flow]&lt;&gt;""),--(Table4[Total Energy Usage]&lt;&gt;""),--(Table4[Year]=B101))</f>
        <v>12</v>
      </c>
      <c r="K101" s="59"/>
      <c r="L101" s="382"/>
      <c r="M101" s="382"/>
      <c r="N101" s="60"/>
      <c r="O101" s="118"/>
      <c r="P101" s="118"/>
      <c r="Q101" s="118"/>
      <c r="W101">
        <v>5</v>
      </c>
      <c r="X101" s="129" t="str">
        <f>TEXT(DATE(YEAR(B$52),MONTH(B$52),DAY(B$52)),"mmm yyyy")&amp;" - "&amp;TEXT(DATE(YEAR(B$63),MONTH(B$63),DAY(B$63)),"mmm yyyy")</f>
        <v>Jul 2019 - Jun 2020</v>
      </c>
      <c r="Y101" s="148">
        <f>_xlfn.IFERROR(AVERAGEIF(Table4[Year],W101,Table4[Avg effluent TKN]),"")</f>
        <v>3.016666666666666</v>
      </c>
      <c r="Z101" s="148">
        <f>_xlfn.IFERROR(AVERAGEIF(Table4[Year],W101,Table4[Avg effluent NH3]),"")</f>
        <v>1.0916666666666666</v>
      </c>
      <c r="AA101" s="148">
        <f>_xlfn.IFERROR(AVERAGEIF(Table4[Year],W101,Table4[Avg effluent NOx]),"")</f>
        <v>7.933333333333334</v>
      </c>
      <c r="AB101" s="148">
        <f t="shared" si="10"/>
        <v>3.016666666666666</v>
      </c>
      <c r="AC101" s="149"/>
      <c r="AD101" s="161">
        <f>_xlfn.IFERROR(IF(SUMPRODUCT(--(Table4[Year]=W101),--(Table4[Monthly Flow]&lt;&gt;""))/SUMPRODUCT(--(Table4[Year]=W101),--(Table4[Approx TN removal (lbs)]&lt;&gt;""))&lt;=3,AVERAGEIF(Table4[Year],W101,Table4[Approx TN removal (lbs)]),"Insufficient Data"),"")</f>
        <v>12380.746679999998</v>
      </c>
    </row>
    <row r="102" spans="2:30" ht="29">
      <c r="B102" s="128">
        <v>5</v>
      </c>
      <c r="C102" s="129" t="str">
        <f>TEXT(DATE(YEAR(B$52),MONTH(B$52),DAY(B$52)),"mmm yyyy")&amp;" - "&amp;TEXT(DATE(YEAR(B$63),MONTH(B$63),DAY(B$63)),"mmm yyyy")</f>
        <v>Jul 2019 - Jun 2020</v>
      </c>
      <c r="D102" s="130">
        <f>_xlfn.IFERROR(AVERAGEIF(Table4[Year],B102,Table4[Avg Daily Flow]),"")</f>
        <v>2.0283333333333333</v>
      </c>
      <c r="E102" s="131">
        <f>SUMIF(Table4[Year],B102,Table4[Monthly Flow])</f>
        <v>741.6199999999999</v>
      </c>
      <c r="F102" s="163">
        <f>SUMPRODUCT(Table4[Monthly Flow],--(Table4[Year]=B102),--(Table4[Monthly Flow]&lt;&gt;""),--(Table4[Total Energy Usage]&lt;&gt;""))</f>
        <v>741.6199999999999</v>
      </c>
      <c r="G102" s="133">
        <f>SUMPRODUCT(Table4[Total Energy Usage],--(Table4[Year]=B102),--(Table4[Monthly Flow]&lt;&gt;""),--(Table4[Electric kWh usage]&lt;&gt;""))</f>
        <v>1724029</v>
      </c>
      <c r="H102" s="141">
        <f t="shared" si="9"/>
        <v>2324.6797551306604</v>
      </c>
      <c r="I102" s="134">
        <f>SUMPRODUCT(--(Table4[Monthly Flow]&lt;&gt;""),--(Table4[Total Energy Usage]&lt;&gt;""),--(Table4[Year]=B102))</f>
        <v>12</v>
      </c>
      <c r="K102" s="59"/>
      <c r="L102" s="382"/>
      <c r="M102" s="382"/>
      <c r="N102" s="60"/>
      <c r="O102" s="118"/>
      <c r="P102" s="118"/>
      <c r="Q102" s="118"/>
      <c r="W102">
        <v>6</v>
      </c>
      <c r="X102" s="129" t="str">
        <f>TEXT(DATE(YEAR(B$64),MONTH(B$64),DAY(B$64)),"mmm yyyy")&amp;" - "&amp;TEXT(DATE(YEAR(B$75),MONTH(B$75),DAY(B$75)),"mmm yyyy")</f>
        <v>Jul 2020 - Jun 2021</v>
      </c>
      <c r="Y102" s="148">
        <f>_xlfn.IFERROR(AVERAGEIF(Table4[Year],W102,Table4[Avg effluent TKN]),"")</f>
        <v>3.0833333333333326</v>
      </c>
      <c r="Z102" s="148">
        <f>_xlfn.IFERROR(AVERAGEIF(Table4[Year],W102,Table4[Avg effluent NH3]),"")</f>
        <v>1.2916666666666667</v>
      </c>
      <c r="AA102" s="148">
        <f>_xlfn.IFERROR(AVERAGEIF(Table4[Year],W102,Table4[Avg effluent NOx]),"")</f>
        <v>8.283333333333333</v>
      </c>
      <c r="AB102" s="148">
        <f t="shared" si="10"/>
        <v>3.0833333333333326</v>
      </c>
      <c r="AC102" s="149"/>
      <c r="AD102" s="161">
        <f>_xlfn.IFERROR(IF(SUMPRODUCT(--(Table4[Year]=W102),--(Table4[Monthly Flow]&lt;&gt;""))/SUMPRODUCT(--(Table4[Year]=W102),--(Table4[Approx TN removal (lbs)]&lt;&gt;""))&lt;=3,AVERAGEIF(Table4[Year],W102,Table4[Approx TN removal (lbs)]),"Insufficient Data"),"")</f>
        <v>11621.053300000001</v>
      </c>
    </row>
    <row r="103" spans="2:30" ht="29">
      <c r="B103" s="128">
        <v>6</v>
      </c>
      <c r="C103" s="129" t="str">
        <f>TEXT(DATE(YEAR(B$64),MONTH(B$64),DAY(B$64)),"mmm yyyy")&amp;" - "&amp;TEXT(DATE(YEAR(B$75),MONTH(B$75),DAY(B$75)),"mmm yyyy")</f>
        <v>Jul 2020 - Jun 2021</v>
      </c>
      <c r="D103" s="130">
        <f>_xlfn.IFERROR(AVERAGEIF(Table4[Year],B103,Table4[Avg Daily Flow]),"")</f>
        <v>1.9916666666666665</v>
      </c>
      <c r="E103" s="131">
        <f>SUMIF(Table4[Year],B103,Table4[Monthly Flow])</f>
        <v>726.96</v>
      </c>
      <c r="F103" s="163">
        <f>SUMPRODUCT(Table4[Monthly Flow],--(Table4[Year]=B103),--(Table4[Monthly Flow]&lt;&gt;""),--(Table4[Total Energy Usage]&lt;&gt;""))</f>
        <v>726.96</v>
      </c>
      <c r="G103" s="133">
        <f>SUMPRODUCT(Table4[Total Energy Usage],--(Table4[Year]=B103),--(Table4[Monthly Flow]&lt;&gt;""),--(Table4[Electric kWh usage]&lt;&gt;""))</f>
        <v>1696557</v>
      </c>
      <c r="H103" s="141">
        <f t="shared" si="9"/>
        <v>2333.769395840211</v>
      </c>
      <c r="I103" s="134">
        <f>SUMPRODUCT(--(Table4[Monthly Flow]&lt;&gt;""),--(Table4[Total Energy Usage]&lt;&gt;""),--(Table4[Year]=B103))</f>
        <v>12</v>
      </c>
      <c r="K103" s="59"/>
      <c r="L103" s="382"/>
      <c r="M103" s="382"/>
      <c r="N103" s="60"/>
      <c r="O103" s="118"/>
      <c r="P103" s="118"/>
      <c r="Q103" s="118"/>
      <c r="W103">
        <v>7</v>
      </c>
      <c r="X103" s="129" t="str">
        <f>TEXT(DATE(YEAR(B$76),MONTH(B$76),DAY(B$76)),"mmm yyyy")&amp;" - "&amp;TEXT(DATE(YEAR(B$87),MONTH(B$87),DAY(B$87)),"mmm yyyy")</f>
        <v>Jul 2021 - Jun 2022</v>
      </c>
      <c r="Y103" s="148">
        <f>_xlfn.IFERROR(AVERAGEIF(Table4[Year],W103,Table4[Avg effluent TKN]),"")</f>
        <v>2.9499999999999997</v>
      </c>
      <c r="Z103" s="148">
        <f>_xlfn.IFERROR(AVERAGEIF(Table4[Year],W103,Table4[Avg effluent NH3]),"")</f>
        <v>1.225</v>
      </c>
      <c r="AA103" s="148">
        <f>_xlfn.IFERROR(AVERAGEIF(Table4[Year],W103,Table4[Avg effluent NOx]),"")</f>
        <v>7.866666666666666</v>
      </c>
      <c r="AB103" s="148">
        <f t="shared" si="10"/>
        <v>2.9499999999999997</v>
      </c>
      <c r="AC103" s="149"/>
      <c r="AD103" s="161">
        <f>_xlfn.IFERROR(IF(SUMPRODUCT(--(Table4[Year]=W103),--(Table4[Monthly Flow]&lt;&gt;""))/SUMPRODUCT(--(Table4[Year]=W103),--(Table4[Approx TN removal (lbs)]&lt;&gt;""))&lt;=3,AVERAGEIF(Table4[Year],W103,Table4[Approx TN removal (lbs)]),"Insufficient Data"),"")</f>
        <v>11821.76374</v>
      </c>
    </row>
    <row r="104" spans="2:25" ht="15">
      <c r="B104" s="128">
        <v>7</v>
      </c>
      <c r="C104" s="129" t="str">
        <f>TEXT(DATE(YEAR(B$76),MONTH(B$76),DAY(B$76)),"mmm yyyy")&amp;" - "&amp;TEXT(DATE(YEAR(B$87),MONTH(B$87),DAY(B$87)),"mmm yyyy")</f>
        <v>Jul 2021 - Jun 2022</v>
      </c>
      <c r="D104" s="130">
        <f>_xlfn.IFERROR(AVERAGEIF(Table4[Year],B104,Table4[Avg Daily Flow]),"")</f>
        <v>1.86</v>
      </c>
      <c r="E104" s="131">
        <f>SUMIF(Table4[Year],B104,Table4[Monthly Flow])</f>
        <v>679.4800000000001</v>
      </c>
      <c r="F104" s="163">
        <f>SUMPRODUCT(Table4[Monthly Flow],--(Table4[Year]=B104),--(Table4[Monthly Flow]&lt;&gt;""),--(Table4[Total Energy Usage]&lt;&gt;""))</f>
        <v>679.4800000000001</v>
      </c>
      <c r="G104" s="133">
        <f>SUMPRODUCT(Table4[Total Energy Usage],--(Table4[Year]=B104),--(Table4[Monthly Flow]&lt;&gt;""),--(Table4[Electric kWh usage]&lt;&gt;""))</f>
        <v>1536319</v>
      </c>
      <c r="H104" s="141">
        <f t="shared" si="9"/>
        <v>2261.021663625125</v>
      </c>
      <c r="I104" s="134">
        <f>SUMPRODUCT(--(Table4[Monthly Flow]&lt;&gt;""),--(Table4[Total Energy Usage]&lt;&gt;""),--(Table4[Year]=B104))</f>
        <v>12</v>
      </c>
      <c r="K104" s="59"/>
      <c r="L104" s="382"/>
      <c r="M104" s="382"/>
      <c r="N104" s="60"/>
      <c r="O104" s="118"/>
      <c r="P104" s="118"/>
      <c r="Q104" s="118"/>
      <c r="Y104" s="156"/>
    </row>
    <row r="105" spans="2:9" ht="15">
      <c r="B105" s="135"/>
      <c r="C105" s="132"/>
      <c r="D105" s="132"/>
      <c r="E105" s="132"/>
      <c r="F105" s="132"/>
      <c r="G105" s="132"/>
      <c r="H105" s="132"/>
      <c r="I105" s="136"/>
    </row>
    <row r="106" spans="2:33" ht="33.75" customHeight="1">
      <c r="B106" s="135"/>
      <c r="C106" s="132"/>
      <c r="D106" s="132"/>
      <c r="E106" s="132"/>
      <c r="F106" s="132"/>
      <c r="G106" s="132"/>
      <c r="H106" s="132"/>
      <c r="I106" s="136"/>
      <c r="Y106" s="155"/>
      <c r="AF106" s="58"/>
      <c r="AG106" s="157"/>
    </row>
    <row r="107" spans="2:9" ht="15">
      <c r="B107" s="135"/>
      <c r="C107" s="132"/>
      <c r="D107" s="132"/>
      <c r="E107" s="132"/>
      <c r="F107" s="137" t="s">
        <v>95</v>
      </c>
      <c r="G107" s="132"/>
      <c r="H107" s="132"/>
      <c r="I107" s="136"/>
    </row>
    <row r="108" spans="2:29" ht="43.5">
      <c r="B108" s="123"/>
      <c r="C108" s="124" t="s">
        <v>81</v>
      </c>
      <c r="D108" s="125" t="s">
        <v>82</v>
      </c>
      <c r="E108" s="125" t="s">
        <v>83</v>
      </c>
      <c r="F108" s="125" t="s">
        <v>92</v>
      </c>
      <c r="G108" s="125" t="s">
        <v>90</v>
      </c>
      <c r="H108" s="125" t="s">
        <v>115</v>
      </c>
      <c r="I108" s="126" t="s">
        <v>93</v>
      </c>
      <c r="W108" s="52" t="s">
        <v>59</v>
      </c>
      <c r="X108" s="52" t="s">
        <v>59</v>
      </c>
      <c r="Y108" t="s">
        <v>100</v>
      </c>
      <c r="Z108" t="s">
        <v>101</v>
      </c>
      <c r="AA108" t="s">
        <v>102</v>
      </c>
      <c r="AB108" t="s">
        <v>103</v>
      </c>
      <c r="AC108" t="s">
        <v>122</v>
      </c>
    </row>
    <row r="109" spans="2:29" ht="29">
      <c r="B109" s="123" t="s">
        <v>59</v>
      </c>
      <c r="C109" s="127"/>
      <c r="D109" s="125" t="s">
        <v>49</v>
      </c>
      <c r="E109" s="125" t="s">
        <v>84</v>
      </c>
      <c r="F109" s="132" t="s">
        <v>84</v>
      </c>
      <c r="G109" s="132" t="s">
        <v>65</v>
      </c>
      <c r="H109" s="132"/>
      <c r="I109" s="136"/>
      <c r="W109" s="52">
        <v>1</v>
      </c>
      <c r="X109" s="129" t="str">
        <f>TEXT(DATE(YEAR(B$4),MONTH(B$4),DAY(B$4)),"mmm yyyy")&amp;" - "&amp;TEXT(DATE(YEAR(B$15),MONTH(B$15),DAY(B$15)),"mmm yyyy")</f>
        <v>Jul 2015 - Jun 2016</v>
      </c>
      <c r="Y109" s="58">
        <f>_xlfn.IFERROR(AVERAGEIF(Table4[Year],W109,Table4[Avg influent TP]),"")</f>
        <v>8.2</v>
      </c>
      <c r="Z109" s="58">
        <f>_xlfn.IFERROR(AVERAGEIF(Table4[Year],W109,Table4[Avg effluent TP]),"")</f>
        <v>0.9583333333333334</v>
      </c>
      <c r="AA109" s="58">
        <f aca="true" t="shared" si="11" ref="AA109:AA115">IF(OR(Y109="",Z109=""),"Insufficient Data",Y109-Z109)</f>
        <v>7.241666666666666</v>
      </c>
      <c r="AB109" s="59">
        <f>_xlfn.IFERROR(IF(SUMPRODUCT(--(Table4[Year]=W109),--(Table4[Monthly Flow]&lt;&gt;0))/SUMPRODUCT(--(Table4[Year]=W109),--(Table4[Calculated TP removal (lbs)]&lt;&gt;""))&gt;3,"Insufficient Data",AA109*E98*8.34),"Insufficient Data")</f>
        <v>41779.191080000004</v>
      </c>
      <c r="AC109" s="166">
        <f>_xlfn.IFERROR(AVERAGEIF(Table4[Year],W109,Table4[Calculated TP removal (lbs)]),"")</f>
        <v>3485.15951</v>
      </c>
    </row>
    <row r="110" spans="2:29" ht="29">
      <c r="B110" s="128">
        <v>1</v>
      </c>
      <c r="C110" s="129" t="str">
        <f>TEXT(DATE(YEAR(B$4),MONTH(B$4),DAY(B$4)),"mmm yyyy")&amp;" - "&amp;TEXT(DATE(YEAR(B$15),MONTH(B$15),DAY(B$15)),"mmm yyyy")</f>
        <v>Jul 2015 - Jun 2016</v>
      </c>
      <c r="D110" s="130">
        <f>AVERAGEIF(Table4[Year],B110,Table4[BOD removed])</f>
        <v>2523.95227</v>
      </c>
      <c r="E110" s="138">
        <f>SUMIF(Table4[Year],B110,Table4[Total BOD removed])</f>
        <v>924142.70652</v>
      </c>
      <c r="F110" s="133">
        <f>SUMPRODUCT(Table4[Total BOD removed],--(Table4[Total Energy Usage]&lt;&gt;""),--(Table4[Year]=B110))</f>
        <v>924142.70652</v>
      </c>
      <c r="G110" s="133">
        <f>SUMPRODUCT(Table4[Total Energy Usage],--(Table4[Year]=B110),--(Table4[Total BOD removed]&lt;&gt;""),--(Table4[Total Energy Usage]&lt;&gt;""))</f>
        <v>2024979.04</v>
      </c>
      <c r="H110" s="139">
        <f>G110/F110</f>
        <v>2.1911973396677737</v>
      </c>
      <c r="I110" s="136">
        <f>SUMPRODUCT(--(Table4[Total BOD removed]&lt;&gt;""),--(Table4[Total Energy Usage]&lt;&gt;""),--(Table4[Year]=B110))</f>
        <v>12</v>
      </c>
      <c r="W110">
        <v>2</v>
      </c>
      <c r="X110" s="129" t="str">
        <f>TEXT(DATE(YEAR(B$16),MONTH(B$16),DAY(B$16)),"mmm yyyy")&amp;" - "&amp;TEXT(DATE(YEAR(B$27),MONTH(B$27),DAY(B$27)),"mmm yyyy")</f>
        <v>Jul 2016 - Jun 2017</v>
      </c>
      <c r="Y110" s="58">
        <f>_xlfn.IFERROR(AVERAGEIF(Table4[Year],W110,Table4[Avg influent TP]),"")</f>
        <v>7.933333333333333</v>
      </c>
      <c r="Z110" s="58">
        <f>_xlfn.IFERROR(AVERAGEIF(Table4[Year],W110,Table4[Avg effluent TP]),"")</f>
        <v>1.075</v>
      </c>
      <c r="AA110" s="58">
        <f t="shared" si="11"/>
        <v>6.8583333333333325</v>
      </c>
      <c r="AB110" s="59">
        <f>_xlfn.IFERROR(IF(SUMPRODUCT(--(Table4[Year]=W110),--(Table4[Monthly Flow]&lt;&gt;0))/SUMPRODUCT(--(Table4[Year]=W110),--(Table4[Calculated TP removal (lbs)]&lt;&gt;""))&gt;3,"Insufficient Data",AA110*E99*8.34),"Insufficient Data")</f>
        <v>44877.94309999999</v>
      </c>
      <c r="AC110" s="166">
        <f>_xlfn.IFERROR(AVERAGEIF(Table4[Year],W110,Table4[Calculated TP removal (lbs)]),"")</f>
        <v>3734.87996</v>
      </c>
    </row>
    <row r="111" spans="2:29" ht="29">
      <c r="B111" s="128">
        <v>2</v>
      </c>
      <c r="C111" s="129" t="str">
        <f>TEXT(DATE(YEAR(B$16),MONTH(B$16),DAY(B$16)),"mmm yyyy")&amp;" - "&amp;TEXT(DATE(YEAR(B$27),MONTH(B$27),DAY(B$27)),"mmm yyyy")</f>
        <v>Jul 2016 - Jun 2017</v>
      </c>
      <c r="D111" s="130">
        <f>AVERAGEIF(Table4[Year],B99,Table4[BOD removed])</f>
        <v>3174.0010600000005</v>
      </c>
      <c r="E111" s="138">
        <f>SUMIF(Table4[Year],B111,Table4[Total BOD removed])</f>
        <v>1159477.99926</v>
      </c>
      <c r="F111" s="133">
        <f>SUMPRODUCT(Table4[Total BOD removed],--(Table4[Total BOD removed]&lt;&gt;""),--(Table4[Total Energy Usage]&lt;&gt;""),--(Table4[Year]=B111))</f>
        <v>1159477.99926</v>
      </c>
      <c r="G111" s="133">
        <f>SUMPRODUCT(Table4[Total Energy Usage],--(Table4[Year]=B111),--(Table4[Total BOD removed]&lt;&gt;""),--(Table4[Total Energy Usage]&lt;&gt;""))</f>
        <v>2130985.3600000003</v>
      </c>
      <c r="H111" s="139">
        <f aca="true" t="shared" si="12" ref="H111:H116">G111/F111</f>
        <v>1.8378833935271166</v>
      </c>
      <c r="I111" s="136">
        <f>SUMPRODUCT(--(Table4[Total BOD removed]&lt;&gt;""),--(Table4[Total Energy Usage]&lt;&gt;""),--(Table4[Year]=B111))</f>
        <v>12</v>
      </c>
      <c r="W111">
        <v>3</v>
      </c>
      <c r="X111" s="129" t="str">
        <f>TEXT(DATE(YEAR(B$28),MONTH(B$28),DAY(B$28)),"mmm yyyy")&amp;" - "&amp;TEXT(DATE(YEAR(B$39),MONTH(B$39),DAY(B$39)),"mmm yyyy")</f>
        <v>Jul 2017 - Jun 2018</v>
      </c>
      <c r="Y111" s="58">
        <f>_xlfn.IFERROR(AVERAGEIF(Table4[Year],W111,Table4[Avg influent TP]),"")</f>
        <v>7.891666666666667</v>
      </c>
      <c r="Z111" s="58">
        <f>_xlfn.IFERROR(AVERAGEIF(Table4[Year],W111,Table4[Avg effluent TP]),"")</f>
        <v>1.1583333333333332</v>
      </c>
      <c r="AA111" s="58">
        <f t="shared" si="11"/>
        <v>6.733333333333333</v>
      </c>
      <c r="AB111" s="59">
        <f>_xlfn.IFERROR(IF(SUMPRODUCT(--(Table4[Year]=W111),--(Table4[Monthly Flow]&lt;&gt;0))/SUMPRODUCT(--(Table4[Year]=W111),--(Table4[Calculated TP removal (lbs)]&lt;&gt;""))&gt;3,"Insufficient Data",AA111*E100*8.34),"Insufficient Data")</f>
        <v>40722.08496</v>
      </c>
      <c r="AC111" s="166">
        <f>_xlfn.IFERROR(AVERAGEIF(Table4[Year],W111,Table4[Calculated TP removal (lbs)]),"")</f>
        <v>3384.19269</v>
      </c>
    </row>
    <row r="112" spans="2:29" ht="29">
      <c r="B112" s="128">
        <v>3</v>
      </c>
      <c r="C112" s="129" t="str">
        <f>TEXT(DATE(YEAR(B$28),MONTH(B$28),DAY(B$28)),"mmm yyyy")&amp;" - "&amp;TEXT(DATE(YEAR(B$39),MONTH(B$39),DAY(B$39)),"mmm yyyy")</f>
        <v>Jul 2017 - Jun 2018</v>
      </c>
      <c r="D112" s="130">
        <f>AVERAGEIF(Table4[Year],B100,Table4[BOD removed])</f>
        <v>2901.34144</v>
      </c>
      <c r="E112" s="138">
        <f>SUMIF(Table4[Year],B112,Table4[Total BOD removed])</f>
        <v>1057595.50842</v>
      </c>
      <c r="F112" s="133">
        <f>SUMPRODUCT(Table4[Total BOD removed],--(Table4[Total BOD removed]&lt;&gt;""),--(Table4[Total Energy Usage]&lt;&gt;""),--(Table4[Year]=B112))</f>
        <v>1057595.50842</v>
      </c>
      <c r="G112" s="133">
        <f>SUMPRODUCT(Table4[Total Energy Usage],--(Table4[Year]=B112),--(Table4[Total BOD removed]&lt;&gt;""),--(Table4[Total Energy Usage]&lt;&gt;""))</f>
        <v>1836807</v>
      </c>
      <c r="H112" s="139">
        <f t="shared" si="12"/>
        <v>1.7367764758608957</v>
      </c>
      <c r="I112" s="136">
        <f>SUMPRODUCT(--(Table4[Total BOD removed]&lt;&gt;""),--(Table4[Total Energy Usage]&lt;&gt;""),--(Table4[Year]=B112))</f>
        <v>12</v>
      </c>
      <c r="W112">
        <v>4</v>
      </c>
      <c r="X112" s="129" t="str">
        <f>TEXT(DATE(YEAR(B$40),MONTH(B$40),DAY(B$40)),"mmm yyyy")&amp;" - "&amp;TEXT(DATE(YEAR(B$51),MONTH(B$51),DAY(B$51)),"mmm yyyy")</f>
        <v>Jul 2018 - Jun 2019</v>
      </c>
      <c r="Y112" s="58">
        <f>_xlfn.IFERROR(AVERAGEIF(Table4[Year],W112,Table4[Avg influent TP]),"")</f>
        <v>8.058333333333332</v>
      </c>
      <c r="Z112" s="58">
        <f>_xlfn.IFERROR(AVERAGEIF(Table4[Year],W112,Table4[Avg effluent TP]),"")</f>
        <v>1.0666666666666667</v>
      </c>
      <c r="AA112" s="58">
        <f t="shared" si="11"/>
        <v>6.991666666666665</v>
      </c>
      <c r="AB112" s="59">
        <f>_xlfn.IFERROR(IF(SUMPRODUCT(--(Table4[Year]=W112),--(Table4[Monthly Flow]&lt;&gt;0))/SUMPRODUCT(--(Table4[Year]=W112),--(Table4[Calculated TP removal (lbs)]&lt;&gt;""))&gt;3,"Insufficient Data",AA112*E101*8.34),"Insufficient Data")</f>
        <v>43445.98734</v>
      </c>
      <c r="AC112" s="166">
        <f>_xlfn.IFERROR(AVERAGEIF(Table4[Year],W112,Table4[Calculated TP removal (lbs)]),"")</f>
        <v>3635.49357</v>
      </c>
    </row>
    <row r="113" spans="2:29" ht="29">
      <c r="B113" s="128">
        <v>4</v>
      </c>
      <c r="C113" s="129" t="str">
        <f>TEXT(DATE(YEAR(B$40),MONTH(B$40),DAY(B$40)),"mmm yyyy")&amp;" - "&amp;TEXT(DATE(YEAR(B$51),MONTH(B$51),DAY(B$51)),"mmm yyyy")</f>
        <v>Jul 2018 - Jun 2019</v>
      </c>
      <c r="D113" s="130">
        <f>AVERAGEIF(Table4[Year],B101,Table4[BOD removed])</f>
        <v>3031.73178</v>
      </c>
      <c r="E113" s="138">
        <f>SUMIF(Table4[Year],B113,Table4[Total BOD removed])</f>
        <v>1110912.57798</v>
      </c>
      <c r="F113" s="133">
        <f>SUMPRODUCT(Table4[Total BOD removed],--(Table4[Total BOD removed]&lt;&gt;""),--(Table4[Total Energy Usage]&lt;&gt;""),--(Table4[Year]=B113))</f>
        <v>1110912.57798</v>
      </c>
      <c r="G113" s="133">
        <f>SUMPRODUCT(Table4[Total Energy Usage],--(Table4[Year]=B113),--(Table4[Total BOD removed]&lt;&gt;""),--(Table4[Total Energy Usage]&lt;&gt;""))</f>
        <v>1922105</v>
      </c>
      <c r="H113" s="139">
        <f t="shared" si="12"/>
        <v>1.7302036524737268</v>
      </c>
      <c r="I113" s="136">
        <f>SUMPRODUCT(--(Table4[Total BOD removed]&lt;&gt;""),--(Table4[Total Energy Usage]&lt;&gt;""),--(Table4[Year]=B113))</f>
        <v>12</v>
      </c>
      <c r="W113">
        <v>5</v>
      </c>
      <c r="X113" s="129" t="str">
        <f>TEXT(DATE(YEAR(B$52),MONTH(B$52),DAY(B$52)),"mmm yyyy")&amp;" - "&amp;TEXT(DATE(YEAR(B$63),MONTH(B$63),DAY(B$63)),"mmm yyyy")</f>
        <v>Jul 2019 - Jun 2020</v>
      </c>
      <c r="Y113" s="58">
        <f>_xlfn.IFERROR(AVERAGEIF(Table4[Year],W113,Table4[Avg influent TP]),"")</f>
        <v>7.991666666666666</v>
      </c>
      <c r="Z113" s="58">
        <f>_xlfn.IFERROR(AVERAGEIF(Table4[Year],W113,Table4[Avg effluent TP]),"")</f>
        <v>1.0666666666666667</v>
      </c>
      <c r="AA113" s="58">
        <f t="shared" si="11"/>
        <v>6.925</v>
      </c>
      <c r="AB113" s="59">
        <f>_xlfn.IFERROR(IF(SUMPRODUCT(--(Table4[Year]=W113),--(Table4[Monthly Flow]&lt;&gt;0))/SUMPRODUCT(--(Table4[Year]=W113),--(Table4[Calculated TP removal (lbs)]&lt;&gt;""))&gt;3,"Insufficient Data",AA113*E102*8.34),"Insufficient Data")</f>
        <v>42831.89228999999</v>
      </c>
      <c r="AC113" s="166">
        <f>_xlfn.IFERROR(AVERAGEIF(Table4[Year],W113,Table4[Calculated TP removal (lbs)]),"")</f>
        <v>3552.89977</v>
      </c>
    </row>
    <row r="114" spans="2:29" ht="29">
      <c r="B114" s="128">
        <v>5</v>
      </c>
      <c r="C114" s="129" t="str">
        <f>TEXT(DATE(YEAR(B$52),MONTH(B$52),DAY(B$52)),"mmm yyyy")&amp;" - "&amp;TEXT(DATE(YEAR(B$63),MONTH(B$63),DAY(B$63)),"mmm yyyy")</f>
        <v>Jul 2019 - Jun 2020</v>
      </c>
      <c r="D114" s="130">
        <f>AVERAGEIF(Table4[Year],B102,Table4[BOD removed])</f>
        <v>2917.9748750000003</v>
      </c>
      <c r="E114" s="138">
        <f>SUMIF(Table4[Year],B114,Table4[Total BOD removed])</f>
        <v>1066680.6623999998</v>
      </c>
      <c r="F114" s="133">
        <f>SUMPRODUCT(Table4[Total BOD removed],--(Table4[Total BOD removed]&lt;&gt;""),--(Table4[Total Energy Usage]&lt;&gt;""),--(Table4[Year]=B114))</f>
        <v>1066680.6623999998</v>
      </c>
      <c r="G114" s="133">
        <f>SUMPRODUCT(Table4[Total Energy Usage],--(Table4[Year]=B114),--(Table4[Total BOD removed]&lt;&gt;""),--(Table4[Total Energy Usage]&lt;&gt;""))</f>
        <v>1724029</v>
      </c>
      <c r="H114" s="139">
        <f t="shared" si="12"/>
        <v>1.6162559806052788</v>
      </c>
      <c r="I114" s="136">
        <f>SUMPRODUCT(--(Table4[Total BOD removed]&lt;&gt;""),--(Table4[Total Energy Usage]&lt;&gt;""),--(Table4[Year]=B114))</f>
        <v>12</v>
      </c>
      <c r="W114">
        <v>6</v>
      </c>
      <c r="X114" s="129" t="str">
        <f>TEXT(DATE(YEAR(B$64),MONTH(B$64),DAY(B$64)),"mmm yyyy")&amp;" - "&amp;TEXT(DATE(YEAR(B$75),MONTH(B$75),DAY(B$75)),"mmm yyyy")</f>
        <v>Jul 2020 - Jun 2021</v>
      </c>
      <c r="Y114" s="58">
        <f>_xlfn.IFERROR(AVERAGEIF(Table4[Year],W114,Table4[Avg influent TP]),"")</f>
        <v>8.375</v>
      </c>
      <c r="Z114" s="58">
        <f>_xlfn.IFERROR(AVERAGEIF(Table4[Year],W114,Table4[Avg effluent TP]),"")</f>
        <v>1.0499999999999998</v>
      </c>
      <c r="AA114" s="58">
        <f t="shared" si="11"/>
        <v>7.325</v>
      </c>
      <c r="AB114" s="59">
        <f>_xlfn.IFERROR(IF(SUMPRODUCT(--(Table4[Year]=W114),--(Table4[Monthly Flow]&lt;&gt;0))/SUMPRODUCT(--(Table4[Year]=W114),--(Table4[Calculated TP removal (lbs)]&lt;&gt;""))&gt;3,"Insufficient Data",AA114*E103*8.34),"Insufficient Data")</f>
        <v>44410.34988</v>
      </c>
      <c r="AC114" s="166">
        <f>_xlfn.IFERROR(AVERAGEIF(Table4[Year],W114,Table4[Calculated TP removal (lbs)]),"")</f>
        <v>3705.6454800000006</v>
      </c>
    </row>
    <row r="115" spans="2:29" ht="29">
      <c r="B115" s="128">
        <v>6</v>
      </c>
      <c r="C115" s="129" t="str">
        <f>TEXT(DATE(YEAR(B$64),MONTH(B$64),DAY(B$64)),"mmm yyyy")&amp;" - "&amp;TEXT(DATE(YEAR(B$75),MONTH(B$75),DAY(B$75)),"mmm yyyy")</f>
        <v>Jul 2020 - Jun 2021</v>
      </c>
      <c r="D115" s="130">
        <f>AVERAGEIF(Table4[Year],B103,Table4[BOD removed])</f>
        <v>2803.47849</v>
      </c>
      <c r="E115" s="138">
        <f>SUMIF(Table4[Year],B115,Table4[Total BOD removed])</f>
        <v>1024919.2549800001</v>
      </c>
      <c r="F115" s="133">
        <f>SUMPRODUCT(Table4[Total BOD removed],--(Table4[Total BOD removed]&lt;&gt;""),--(Table4[Total Energy Usage]&lt;&gt;""),--(Table4[Year]=B115))</f>
        <v>1024919.2549800001</v>
      </c>
      <c r="G115" s="133">
        <f>SUMPRODUCT(Table4[Total Energy Usage],--(Table4[Year]=B115),--(Table4[Total BOD removed]&lt;&gt;""),--(Table4[Total Energy Usage]&lt;&gt;""))</f>
        <v>1696557</v>
      </c>
      <c r="H115" s="139">
        <f t="shared" si="12"/>
        <v>1.655307958901705</v>
      </c>
      <c r="I115" s="136">
        <f>SUMPRODUCT(--(Table4[Total BOD removed]&lt;&gt;""),--(Table4[Total Energy Usage]&lt;&gt;""),--(Table4[Year]=B115))</f>
        <v>12</v>
      </c>
      <c r="W115">
        <v>7</v>
      </c>
      <c r="X115" s="129" t="str">
        <f>TEXT(DATE(YEAR(B$76),MONTH(B$76),DAY(B$76)),"mmm yyyy")&amp;" - "&amp;TEXT(DATE(YEAR(B$87),MONTH(B$87),DAY(B$87)),"mmm yyyy")</f>
        <v>Jul 2021 - Jun 2022</v>
      </c>
      <c r="Y115" s="58">
        <f>_xlfn.IFERROR(AVERAGEIF(Table4[Year],W115,Table4[Avg influent TP]),"")</f>
        <v>8.258333333333333</v>
      </c>
      <c r="Z115" s="58">
        <f>_xlfn.IFERROR(AVERAGEIF(Table4[Year],W115,Table4[Avg effluent TP]),"")</f>
        <v>0.9666666666666667</v>
      </c>
      <c r="AA115" s="58">
        <f t="shared" si="11"/>
        <v>7.291666666666666</v>
      </c>
      <c r="AB115" s="59">
        <f>_xlfn.IFERROR(IF(SUMPRODUCT(--(Table4[Year]=W115),--(Table4[Monthly Flow]&lt;&gt;0))/SUMPRODUCT(--(Table4[Year]=W115),--(Table4[Calculated TP removal (lbs)]&lt;&gt;""))&gt;3,"Insufficient Data",AA115*E104*8.34),"Insufficient Data")</f>
        <v>41320.8775</v>
      </c>
      <c r="AC115" s="166">
        <f>_xlfn.IFERROR(AVERAGEIF(Table4[Year],W115,Table4[Calculated TP removal (lbs)]),"")</f>
        <v>3440.190229999999</v>
      </c>
    </row>
    <row r="116" spans="2:9" ht="15">
      <c r="B116" s="128">
        <v>7</v>
      </c>
      <c r="C116" s="129" t="str">
        <f>TEXT(DATE(YEAR(B$76),MONTH(B$76),DAY(B$76)),"mmm yyyy")&amp;" - "&amp;TEXT(DATE(YEAR(B$87),MONTH(B$87),DAY(B$87)),"mmm yyyy")</f>
        <v>Jul 2021 - Jun 2022</v>
      </c>
      <c r="D116" s="130">
        <f>AVERAGEIF(Table4[Year],B104,Table4[BOD removed])</f>
        <v>2841.4143700000004</v>
      </c>
      <c r="E116" s="138">
        <f>SUMIF(Table4[Year],B116,Table4[Total BOD removed])</f>
        <v>1036809.96828</v>
      </c>
      <c r="F116" s="133">
        <f>SUMPRODUCT(Table4[Total BOD removed],--(Table4[Total BOD removed]&lt;&gt;""),--(Table4[Total Energy Usage]&lt;&gt;""),--(Table4[Year]=B116))</f>
        <v>1036809.96828</v>
      </c>
      <c r="G116" s="133">
        <f>SUMPRODUCT(Table4[Total Energy Usage],--(Table4[Year]=B116),--(Table4[Total BOD removed]&lt;&gt;""),--(Table4[Total Energy Usage]&lt;&gt;""))</f>
        <v>1536319</v>
      </c>
      <c r="H116" s="139">
        <f t="shared" si="12"/>
        <v>1.4817749124737418</v>
      </c>
      <c r="I116" s="136">
        <f>SUMPRODUCT(--(Table4[Total BOD removed]&lt;&gt;""),--(Table4[Total Energy Usage]&lt;&gt;""),--(Table4[Year]=B116))</f>
        <v>12</v>
      </c>
    </row>
    <row r="117" spans="2:9" ht="15">
      <c r="B117" s="135"/>
      <c r="C117" s="132"/>
      <c r="D117" s="132"/>
      <c r="E117" s="132"/>
      <c r="F117" s="132"/>
      <c r="G117" s="132"/>
      <c r="H117" s="132"/>
      <c r="I117" s="136"/>
    </row>
    <row r="118" spans="2:9" ht="15">
      <c r="B118" s="135"/>
      <c r="C118" s="132"/>
      <c r="D118" s="132"/>
      <c r="E118" s="132"/>
      <c r="F118" s="137" t="s">
        <v>96</v>
      </c>
      <c r="G118" s="132"/>
      <c r="H118" s="132"/>
      <c r="I118" s="136"/>
    </row>
    <row r="119" spans="2:9" ht="29">
      <c r="B119" s="123"/>
      <c r="C119" s="124" t="s">
        <v>81</v>
      </c>
      <c r="D119" s="125" t="s">
        <v>44</v>
      </c>
      <c r="E119" s="125" t="s">
        <v>85</v>
      </c>
      <c r="F119" s="125" t="s">
        <v>86</v>
      </c>
      <c r="G119" s="125" t="s">
        <v>98</v>
      </c>
      <c r="H119" s="125" t="s">
        <v>70</v>
      </c>
      <c r="I119" s="126" t="s">
        <v>93</v>
      </c>
    </row>
    <row r="120" spans="2:9" ht="15">
      <c r="B120" s="123" t="s">
        <v>59</v>
      </c>
      <c r="C120" s="127"/>
      <c r="D120" s="54" t="s">
        <v>47</v>
      </c>
      <c r="E120" s="54" t="s">
        <v>46</v>
      </c>
      <c r="F120" s="125"/>
      <c r="G120" s="125"/>
      <c r="H120" s="125"/>
      <c r="I120" s="126"/>
    </row>
    <row r="121" spans="2:9" ht="15">
      <c r="B121" s="128">
        <v>1</v>
      </c>
      <c r="C121" s="129" t="str">
        <f>TEXT(DATE(YEAR(B$4),MONTH(B$4),DAY(B$4)),"mmm yyyy")&amp;" - "&amp;TEXT(DATE(YEAR(B$15),MONTH(B$15),DAY(B$15)),"mmm yyyy")</f>
        <v>Jul 2015 - Jun 2016</v>
      </c>
      <c r="D121" s="130">
        <f>AVERAGEIF(Table4[Year],B121,Table4[Avg Daily Flow])</f>
        <v>1.89</v>
      </c>
      <c r="E121" s="140">
        <f>SUMIF(Table4[Year],B121,Table4[Monthly Flow])</f>
        <v>691.7600000000001</v>
      </c>
      <c r="F121" s="141">
        <f>SUMPRODUCT(Table4[Monthly Flow],--(Table4[Year]=B121),--(Table4[Monthly Flow]&lt;&gt;""),--(Table4[Total Energy Cost]&lt;&gt;""))</f>
        <v>691.7600000000001</v>
      </c>
      <c r="G121" s="142">
        <f>SUMPRODUCT(Table4[Total Energy Cost],--(Table4[Year]=B121),--(Table4[Monthly Flow]&lt;&gt;""),--(Table4[Total Energy Cost]&lt;&gt;""))</f>
        <v>162000.74239999996</v>
      </c>
      <c r="H121" s="142">
        <f>G121/F121</f>
        <v>234.18633977101877</v>
      </c>
      <c r="I121" s="134">
        <f>SUMPRODUCT(--(Table4[Monthly Flow]&lt;&gt;""),--(Table4[Total Energy Cost]&lt;&gt;""),--(Table4[Year]=B121))</f>
        <v>12</v>
      </c>
    </row>
    <row r="122" spans="2:9" ht="15">
      <c r="B122" s="128">
        <v>2</v>
      </c>
      <c r="C122" s="129" t="str">
        <f>TEXT(DATE(YEAR(B$16),MONTH(B$16),DAY(B$16)),"mmm yyyy")&amp;" - "&amp;TEXT(DATE(YEAR(B$27),MONTH(B$27),DAY(B$27)),"mmm yyyy")</f>
        <v>Jul 2016 - Jun 2017</v>
      </c>
      <c r="D122" s="130">
        <f>AVERAGEIF(Table4[Year],B122,Table4[Avg Daily Flow])</f>
        <v>2.1450000000000005</v>
      </c>
      <c r="E122" s="140">
        <f>SUMIF(Table4[Year],B122,Table4[Monthly Flow])</f>
        <v>784.5999999999999</v>
      </c>
      <c r="F122" s="141">
        <f>SUMPRODUCT(Table4[Monthly Flow],--(Table4[Year]=B122),--(Table4[Monthly Flow]&lt;&gt;""),--(Table4[Total Energy Cost]&lt;&gt;""))</f>
        <v>784.5999999999999</v>
      </c>
      <c r="G122" s="142">
        <f>SUMPRODUCT(Table4[Total Energy Cost],--(Table4[Year]=B122),--(Table4[Monthly Flow]&lt;&gt;""),--(Table4[Total Energy Cost]&lt;&gt;""))</f>
        <v>174675.12160000004</v>
      </c>
      <c r="H122" s="142">
        <f aca="true" t="shared" si="13" ref="H122:H127">G122/F122</f>
        <v>222.6295202651033</v>
      </c>
      <c r="I122" s="134">
        <f>SUMPRODUCT(--(Table4[Monthly Flow]&lt;&gt;""),--(Table4[Total Energy Cost]&lt;&gt;""),--(Table4[Year]=B122))</f>
        <v>12</v>
      </c>
    </row>
    <row r="123" spans="2:9" ht="15">
      <c r="B123" s="128">
        <v>3</v>
      </c>
      <c r="C123" s="129" t="str">
        <f>TEXT(DATE(YEAR(B$28),MONTH(B$28),DAY(B$28)),"mmm yyyy")&amp;" - "&amp;TEXT(DATE(YEAR(B$39),MONTH(B$39),DAY(B$39)),"mmm yyyy")</f>
        <v>Jul 2017 - Jun 2018</v>
      </c>
      <c r="D123" s="130">
        <f>AVERAGEIF(Table4[Year],B123,Table4[Avg Daily Flow])</f>
        <v>1.9883333333333333</v>
      </c>
      <c r="E123" s="140">
        <f>SUMIF(Table4[Year],B123,Table4[Monthly Flow])</f>
        <v>725.16</v>
      </c>
      <c r="F123" s="141">
        <f>SUMPRODUCT(Table4[Monthly Flow],--(Table4[Year]=B123),--(Table4[Monthly Flow]&lt;&gt;""),--(Table4[Total Energy Cost]&lt;&gt;""))</f>
        <v>725.16</v>
      </c>
      <c r="G123" s="142">
        <f>SUMPRODUCT(Table4[Total Energy Cost],--(Table4[Year]=B123),--(Table4[Monthly Flow]&lt;&gt;""),--(Table4[Total Energy Cost]&lt;&gt;""))</f>
        <v>160240.45500000002</v>
      </c>
      <c r="H123" s="142">
        <f t="shared" si="13"/>
        <v>220.97255088532188</v>
      </c>
      <c r="I123" s="134">
        <f>SUMPRODUCT(--(Table4[Monthly Flow]&lt;&gt;""),--(Table4[Total Energy Cost]&lt;&gt;""),--(Table4[Year]=B123))</f>
        <v>12</v>
      </c>
    </row>
    <row r="124" spans="2:9" ht="15">
      <c r="B124" s="128">
        <v>4</v>
      </c>
      <c r="C124" s="129" t="str">
        <f>TEXT(DATE(YEAR(B$40),MONTH(B$40),DAY(B$40)),"mmm yyyy")&amp;" - "&amp;TEXT(DATE(YEAR(B$51),MONTH(B$51),DAY(B$51)),"mmm yyyy")</f>
        <v>Jul 2018 - Jun 2019</v>
      </c>
      <c r="D124" s="130">
        <f>AVERAGEIF(Table4[Year],B124,Table4[Avg Daily Flow])</f>
        <v>2.0366666666666666</v>
      </c>
      <c r="E124" s="140">
        <f>SUMIF(Table4[Year],B124,Table4[Monthly Flow])</f>
        <v>745.08</v>
      </c>
      <c r="F124" s="141">
        <f>SUMPRODUCT(Table4[Monthly Flow],--(Table4[Year]=B124),--(Table4[Monthly Flow]&lt;&gt;""),--(Table4[Total Energy Cost]&lt;&gt;""))</f>
        <v>745.08</v>
      </c>
      <c r="G124" s="142">
        <f>SUMPRODUCT(Table4[Total Energy Cost],--(Table4[Year]=B124),--(Table4[Monthly Flow]&lt;&gt;""),--(Table4[Total Energy Cost]&lt;&gt;""))</f>
        <v>164082.82499999998</v>
      </c>
      <c r="H124" s="142">
        <f t="shared" si="13"/>
        <v>220.2217547109035</v>
      </c>
      <c r="I124" s="134">
        <f>SUMPRODUCT(--(Table4[Monthly Flow]&lt;&gt;""),--(Table4[Total Energy Cost]&lt;&gt;""),--(Table4[Year]=B124))</f>
        <v>12</v>
      </c>
    </row>
    <row r="125" spans="2:9" ht="15">
      <c r="B125" s="128">
        <v>5</v>
      </c>
      <c r="C125" s="129" t="str">
        <f>TEXT(DATE(YEAR(B$52),MONTH(B$52),DAY(B$52)),"mmm yyyy")&amp;" - "&amp;TEXT(DATE(YEAR(B$63),MONTH(B$63),DAY(B$63)),"mmm yyyy")</f>
        <v>Jul 2019 - Jun 2020</v>
      </c>
      <c r="D125" s="130">
        <f>AVERAGEIF(Table4[Year],B125,Table4[Avg Daily Flow])</f>
        <v>2.0283333333333333</v>
      </c>
      <c r="E125" s="140">
        <f>SUMIF(Table4[Year],B125,Table4[Monthly Flow])</f>
        <v>741.6199999999999</v>
      </c>
      <c r="F125" s="141">
        <f>SUMPRODUCT(Table4[Monthly Flow],--(Table4[Year]=B125),--(Table4[Monthly Flow]&lt;&gt;""),--(Table4[Total Energy Cost]&lt;&gt;""))</f>
        <v>741.6199999999999</v>
      </c>
      <c r="G125" s="142">
        <f>SUMPRODUCT(Table4[Total Energy Cost],--(Table4[Year]=B125),--(Table4[Monthly Flow]&lt;&gt;""),--(Table4[Total Energy Cost]&lt;&gt;""))</f>
        <v>148944.385</v>
      </c>
      <c r="H125" s="142">
        <f t="shared" si="13"/>
        <v>200.8365267926971</v>
      </c>
      <c r="I125" s="134">
        <f>SUMPRODUCT(--(Table4[Monthly Flow]&lt;&gt;""),--(Table4[Total Energy Cost]&lt;&gt;""),--(Table4[Year]=B125))</f>
        <v>12</v>
      </c>
    </row>
    <row r="126" spans="2:9" ht="15">
      <c r="B126" s="128">
        <v>6</v>
      </c>
      <c r="C126" s="129" t="str">
        <f>TEXT(DATE(YEAR(B$64),MONTH(B$64),DAY(B$64)),"mmm yyyy")&amp;" - "&amp;TEXT(DATE(YEAR(B$75),MONTH(B$75),DAY(B$75)),"mmm yyyy")</f>
        <v>Jul 2020 - Jun 2021</v>
      </c>
      <c r="D126" s="130">
        <f>AVERAGEIF(Table4[Year],B126,Table4[Avg Daily Flow])</f>
        <v>1.9916666666666665</v>
      </c>
      <c r="E126" s="140">
        <f>SUMIF(Table4[Year],B126,Table4[Monthly Flow])</f>
        <v>726.96</v>
      </c>
      <c r="F126" s="141">
        <f>SUMPRODUCT(Table4[Monthly Flow],--(Table4[Year]=B126),--(Table4[Monthly Flow]&lt;&gt;""),--(Table4[Total Energy Cost]&lt;&gt;""))</f>
        <v>726.96</v>
      </c>
      <c r="G126" s="142">
        <f>SUMPRODUCT(Table4[Total Energy Cost],--(Table4[Year]=B126),--(Table4[Monthly Flow]&lt;&gt;""),--(Table4[Total Energy Cost]&lt;&gt;""))</f>
        <v>155484.495</v>
      </c>
      <c r="H126" s="142">
        <f t="shared" si="13"/>
        <v>213.88315037966325</v>
      </c>
      <c r="I126" s="134">
        <f>SUMPRODUCT(--(Table4[Monthly Flow]&lt;&gt;""),--(Table4[Total Energy Cost]&lt;&gt;""),--(Table4[Year]=B126))</f>
        <v>12</v>
      </c>
    </row>
    <row r="127" spans="2:9" ht="15">
      <c r="B127" s="128">
        <v>7</v>
      </c>
      <c r="C127" s="129" t="str">
        <f>TEXT(DATE(YEAR(B$76),MONTH(B$76),DAY(B$76)),"mmm yyyy")&amp;" - "&amp;TEXT(DATE(YEAR(B$87),MONTH(B$87),DAY(B$87)),"mmm yyyy")</f>
        <v>Jul 2021 - Jun 2022</v>
      </c>
      <c r="D127" s="130">
        <f>AVERAGEIF(Table4[Year],B127,Table4[Avg Daily Flow])</f>
        <v>1.86</v>
      </c>
      <c r="E127" s="140">
        <f>SUMIF(Table4[Year],B127,Table4[Monthly Flow])</f>
        <v>679.4800000000001</v>
      </c>
      <c r="F127" s="141">
        <f>SUMPRODUCT(Table4[Monthly Flow],--(Table4[Year]=B127),--(Table4[Monthly Flow]&lt;&gt;""),--(Table4[Total Energy Cost]&lt;&gt;""))</f>
        <v>679.4800000000001</v>
      </c>
      <c r="G127" s="142">
        <f>SUMPRODUCT(Table4[Total Energy Cost],--(Table4[Year]=B127),--(Table4[Monthly Flow]&lt;&gt;""),--(Table4[Total Energy Cost]&lt;&gt;""))</f>
        <v>150239.925</v>
      </c>
      <c r="H127" s="142">
        <f t="shared" si="13"/>
        <v>221.11015040913634</v>
      </c>
      <c r="I127" s="134">
        <f>SUMPRODUCT(--(Table4[Monthly Flow]&lt;&gt;""),--(Table4[Total Energy Cost]&lt;&gt;""),--(Table4[Year]=B127))</f>
        <v>12</v>
      </c>
    </row>
    <row r="128" spans="2:9" ht="15">
      <c r="B128" s="135"/>
      <c r="C128" s="132"/>
      <c r="D128" s="132"/>
      <c r="E128" s="132"/>
      <c r="F128" s="132"/>
      <c r="G128" s="132"/>
      <c r="H128" s="132"/>
      <c r="I128" s="136"/>
    </row>
    <row r="129" spans="2:9" ht="15">
      <c r="B129" s="135"/>
      <c r="C129" s="132"/>
      <c r="D129" s="132"/>
      <c r="E129" s="132"/>
      <c r="F129" s="132"/>
      <c r="G129" s="132"/>
      <c r="H129" s="132"/>
      <c r="I129" s="136"/>
    </row>
    <row r="130" spans="2:9" ht="15">
      <c r="B130" s="135"/>
      <c r="C130" s="132"/>
      <c r="D130" s="132"/>
      <c r="E130" s="132"/>
      <c r="F130" s="132"/>
      <c r="G130" s="132"/>
      <c r="H130" s="132"/>
      <c r="I130" s="136"/>
    </row>
    <row r="131" spans="2:9" ht="15">
      <c r="B131" s="135"/>
      <c r="C131" s="132"/>
      <c r="D131" s="132"/>
      <c r="E131" s="132"/>
      <c r="F131" s="132"/>
      <c r="G131" s="132"/>
      <c r="H131" s="132"/>
      <c r="I131" s="136"/>
    </row>
    <row r="132" spans="2:9" ht="15">
      <c r="B132" s="135"/>
      <c r="C132" s="132"/>
      <c r="D132" s="132"/>
      <c r="E132" s="132"/>
      <c r="F132" s="137" t="s">
        <v>97</v>
      </c>
      <c r="G132" s="132"/>
      <c r="H132" s="132"/>
      <c r="I132" s="136"/>
    </row>
    <row r="133" spans="2:9" ht="43.5">
      <c r="B133" s="123"/>
      <c r="C133" s="124" t="s">
        <v>81</v>
      </c>
      <c r="D133" s="125" t="s">
        <v>82</v>
      </c>
      <c r="E133" s="125" t="s">
        <v>83</v>
      </c>
      <c r="F133" s="125" t="s">
        <v>92</v>
      </c>
      <c r="G133" s="125" t="s">
        <v>98</v>
      </c>
      <c r="H133" s="132" t="s">
        <v>71</v>
      </c>
      <c r="I133" s="126" t="s">
        <v>93</v>
      </c>
    </row>
    <row r="134" spans="2:9" ht="15">
      <c r="B134" s="123" t="s">
        <v>59</v>
      </c>
      <c r="C134" s="127"/>
      <c r="D134" s="125" t="s">
        <v>49</v>
      </c>
      <c r="E134" s="125" t="s">
        <v>84</v>
      </c>
      <c r="F134" s="132" t="s">
        <v>84</v>
      </c>
      <c r="G134" s="132" t="s">
        <v>67</v>
      </c>
      <c r="H134" s="132"/>
      <c r="I134" s="136"/>
    </row>
    <row r="135" spans="2:9" ht="15">
      <c r="B135" s="128">
        <v>1</v>
      </c>
      <c r="C135" s="129" t="str">
        <f>TEXT(DATE(YEAR(B$4),MONTH(B$4),DAY(B$4)),"mmm yyyy")&amp;" - "&amp;TEXT(DATE(YEAR(B$15),MONTH(B$15),DAY(B$15)),"mmm yyyy")</f>
        <v>Jul 2015 - Jun 2016</v>
      </c>
      <c r="D135" s="130">
        <f>_xlfn.IFERROR(AVERAGEIF(Table4[Year],B135,Table4[BOD removed]),"")</f>
        <v>2523.95227</v>
      </c>
      <c r="E135" s="138">
        <f>SUMIF(Table4[Year],B135,Table4[Total BOD removed])</f>
        <v>924142.70652</v>
      </c>
      <c r="F135" s="133">
        <f>SUMPRODUCT(Table4[Total BOD removed],--(Table4[Total BOD removed]&lt;&gt;""),--(Table4[Total Energy Cost]&lt;&gt;""),--(Table4[Year]=B135))</f>
        <v>924142.70652</v>
      </c>
      <c r="G135" s="142">
        <f>SUMPRODUCT(Table4[Total Energy Cost],--(Table4[Year]=B135),--(Table4[Total BOD removed]&lt;&gt;""),--(Table4[Total Energy Cost]&lt;&gt;""))</f>
        <v>162000.74239999996</v>
      </c>
      <c r="H135" s="143">
        <f>G135/F135</f>
        <v>0.17529840495093924</v>
      </c>
      <c r="I135" s="136">
        <f>SUMPRODUCT(--(Table4[Total BOD removed]&lt;&gt;""),--(Table4[Total Energy Cost]&lt;&gt;""),--(Table4[Year]=B135))</f>
        <v>12</v>
      </c>
    </row>
    <row r="136" spans="2:9" ht="15">
      <c r="B136" s="128">
        <v>2</v>
      </c>
      <c r="C136" s="129" t="str">
        <f>TEXT(DATE(YEAR(B$16),MONTH(B$16),DAY(B$16)),"mmm yyyy")&amp;" - "&amp;TEXT(DATE(YEAR(B$27),MONTH(B$27),DAY(B$27)),"mmm yyyy")</f>
        <v>Jul 2016 - Jun 2017</v>
      </c>
      <c r="D136" s="130">
        <f>_xlfn.IFERROR(AVERAGEIF(Table4[Year],B136,Table4[BOD removed]),"")</f>
        <v>3174.0010600000005</v>
      </c>
      <c r="E136" s="138">
        <f>SUMIF(Table4[Year],B136,Table4[Total BOD removed])</f>
        <v>1159477.99926</v>
      </c>
      <c r="F136" s="133">
        <f>SUMPRODUCT(Table4[Total BOD removed],--(Table4[Total BOD removed]&lt;&gt;""),--(Table4[Total Energy Cost]&lt;&gt;""),--(Table4[Year]=B136))</f>
        <v>1159477.99926</v>
      </c>
      <c r="G136" s="142">
        <f>SUMPRODUCT(Table4[Total Energy Cost],--(Table4[Year]=B136),--(Table4[Total BOD removed]&lt;&gt;""),--(Table4[Total Energy Cost]&lt;&gt;""))</f>
        <v>174675.12160000004</v>
      </c>
      <c r="H136" s="143">
        <f aca="true" t="shared" si="14" ref="H136:H141">G136/F136</f>
        <v>0.15064979388266175</v>
      </c>
      <c r="I136" s="136">
        <f>SUMPRODUCT(--(Table4[Total BOD removed]&lt;&gt;""),--(Table4[Total Energy Cost]&lt;&gt;""),--(Table4[Year]=B136))</f>
        <v>12</v>
      </c>
    </row>
    <row r="137" spans="2:9" ht="15">
      <c r="B137" s="128">
        <v>3</v>
      </c>
      <c r="C137" s="129" t="str">
        <f>TEXT(DATE(YEAR(B$28),MONTH(B$28),DAY(B$28)),"mmm yyyy")&amp;" - "&amp;TEXT(DATE(YEAR(B$39),MONTH(B$39),DAY(B$39)),"mmm yyyy")</f>
        <v>Jul 2017 - Jun 2018</v>
      </c>
      <c r="D137" s="130">
        <f>_xlfn.IFERROR(AVERAGEIF(Table4[Year],B137,Table4[BOD removed]),"")</f>
        <v>2901.34144</v>
      </c>
      <c r="E137" s="138">
        <f>SUMIF(Table4[Year],B137,Table4[Total BOD removed])</f>
        <v>1057595.50842</v>
      </c>
      <c r="F137" s="133">
        <f>SUMPRODUCT(Table4[Total BOD removed],--(Table4[Total BOD removed]&lt;&gt;""),--(Table4[Total Energy Cost]&lt;&gt;""),--(Table4[Year]=B137))</f>
        <v>1057595.50842</v>
      </c>
      <c r="G137" s="142">
        <f>SUMPRODUCT(Table4[Total Energy Cost],--(Table4[Year]=B137),--(Table4[Total BOD removed]&lt;&gt;""),--(Table4[Total Energy Cost]&lt;&gt;""))</f>
        <v>160240.45500000002</v>
      </c>
      <c r="H137" s="143">
        <f t="shared" si="14"/>
        <v>0.1515139329963608</v>
      </c>
      <c r="I137" s="136">
        <f>SUMPRODUCT(--(Table4[Total BOD removed]&lt;&gt;""),--(Table4[Total Energy Cost]&lt;&gt;""),--(Table4[Year]=B137))</f>
        <v>12</v>
      </c>
    </row>
    <row r="138" spans="2:9" ht="15">
      <c r="B138" s="128">
        <v>4</v>
      </c>
      <c r="C138" s="129" t="str">
        <f>TEXT(DATE(YEAR(B$40),MONTH(B$40),DAY(B$40)),"mmm yyyy")&amp;" - "&amp;TEXT(DATE(YEAR(B$51),MONTH(B$51),DAY(B$51)),"mmm yyyy")</f>
        <v>Jul 2018 - Jun 2019</v>
      </c>
      <c r="D138" s="130">
        <f>_xlfn.IFERROR(AVERAGEIF(Table4[Year],B138,Table4[BOD removed]),"")</f>
        <v>3031.73178</v>
      </c>
      <c r="E138" s="138">
        <f>SUMIF(Table4[Year],B138,Table4[Total BOD removed])</f>
        <v>1110912.57798</v>
      </c>
      <c r="F138" s="133">
        <f>SUMPRODUCT(Table4[Total BOD removed],--(Table4[Total BOD removed]&lt;&gt;""),--(Table4[Total Energy Cost]&lt;&gt;""),--(Table4[Year]=B138))</f>
        <v>1110912.57798</v>
      </c>
      <c r="G138" s="142">
        <f>SUMPRODUCT(Table4[Total Energy Cost],--(Table4[Year]=B138),--(Table4[Total BOD removed]&lt;&gt;""),--(Table4[Total Energy Cost]&lt;&gt;""))</f>
        <v>164082.82499999998</v>
      </c>
      <c r="H138" s="139">
        <f t="shared" si="14"/>
        <v>0.14770093367594764</v>
      </c>
      <c r="I138" s="136">
        <f>SUMPRODUCT(--(Table4[Total BOD removed]&lt;&gt;""),--(Table4[Total Energy Cost]&lt;&gt;""),--(Table4[Year]=B138))</f>
        <v>12</v>
      </c>
    </row>
    <row r="139" spans="2:9" ht="15">
      <c r="B139" s="128">
        <v>5</v>
      </c>
      <c r="C139" s="129" t="str">
        <f>TEXT(DATE(YEAR(B$52),MONTH(B$52),DAY(B$52)),"mmm yyyy")&amp;" - "&amp;TEXT(DATE(YEAR(B$63),MONTH(B$63),DAY(B$63)),"mmm yyyy")</f>
        <v>Jul 2019 - Jun 2020</v>
      </c>
      <c r="D139" s="130">
        <f>_xlfn.IFERROR(AVERAGEIF(Table4[Year],B139,Table4[BOD removed]),"")</f>
        <v>2917.9748750000003</v>
      </c>
      <c r="E139" s="138">
        <f>SUMIF(Table4[Year],B139,Table4[Total BOD removed])</f>
        <v>1066680.6623999998</v>
      </c>
      <c r="F139" s="133">
        <f>SUMPRODUCT(Table4[Total BOD removed],--(Table4[Total BOD removed]&lt;&gt;""),--(Table4[Total Energy Cost]&lt;&gt;""),--(Table4[Year]=B139))</f>
        <v>1066680.6623999998</v>
      </c>
      <c r="G139" s="142">
        <f>SUMPRODUCT(Table4[Total Energy Cost],--(Table4[Year]=B139),--(Table4[Total BOD removed]&lt;&gt;""),--(Table4[Total Energy Cost]&lt;&gt;""))</f>
        <v>148944.385</v>
      </c>
      <c r="H139" s="139">
        <f t="shared" si="14"/>
        <v>0.13963352880596858</v>
      </c>
      <c r="I139" s="136">
        <f>SUMPRODUCT(--(Table4[Total BOD removed]&lt;&gt;""),--(Table4[Total Energy Cost]&lt;&gt;""),--(Table4[Year]=B139))</f>
        <v>12</v>
      </c>
    </row>
    <row r="140" spans="2:9" ht="15">
      <c r="B140" s="128">
        <v>6</v>
      </c>
      <c r="C140" s="129" t="str">
        <f>TEXT(DATE(YEAR(B$64),MONTH(B$64),DAY(B$64)),"mmm yyyy")&amp;" - "&amp;TEXT(DATE(YEAR(B$75),MONTH(B$75),DAY(B$75)),"mmm yyyy")</f>
        <v>Jul 2020 - Jun 2021</v>
      </c>
      <c r="D140" s="130">
        <f>_xlfn.IFERROR(AVERAGEIF(Table4[Year],B140,Table4[BOD removed]),"")</f>
        <v>2803.47849</v>
      </c>
      <c r="E140" s="138">
        <f>SUMIF(Table4[Year],B140,Table4[Total BOD removed])</f>
        <v>1024919.2549800001</v>
      </c>
      <c r="F140" s="133">
        <f>SUMPRODUCT(Table4[Total BOD removed],--(Table4[Total BOD removed]&lt;&gt;""),--(Table4[Total Energy Cost]&lt;&gt;""),--(Table4[Year]=B140))</f>
        <v>1024919.2549800001</v>
      </c>
      <c r="G140" s="142">
        <f>SUMPRODUCT(Table4[Total Energy Cost],--(Table4[Year]=B140),--(Table4[Total BOD removed]&lt;&gt;""),--(Table4[Total Energy Cost]&lt;&gt;""))</f>
        <v>155484.495</v>
      </c>
      <c r="H140" s="139">
        <f t="shared" si="14"/>
        <v>0.15170414083305916</v>
      </c>
      <c r="I140" s="136">
        <f>SUMPRODUCT(--(Table4[Total BOD removed]&lt;&gt;""),--(Table4[Total Energy Cost]&lt;&gt;""),--(Table4[Year]=B140))</f>
        <v>12</v>
      </c>
    </row>
    <row r="141" spans="2:9" ht="15" thickBot="1">
      <c r="B141" s="144">
        <v>7</v>
      </c>
      <c r="C141" s="145" t="str">
        <f>TEXT(DATE(YEAR(B$76),MONTH(B$76),DAY(B$76)),"mmm yyyy")&amp;" - "&amp;TEXT(DATE(YEAR(B$87),MONTH(B$87),DAY(B$87)),"mmm yyyy")</f>
        <v>Jul 2021 - Jun 2022</v>
      </c>
      <c r="D141" s="308">
        <f>_xlfn.IFERROR(AVERAGEIF(Table4[Year],B141,Table4[BOD removed]),"")</f>
        <v>2841.4143700000004</v>
      </c>
      <c r="E141" s="146">
        <f>SUMIF(Table4[Year],B141,Table4[Total BOD removed])</f>
        <v>1036809.96828</v>
      </c>
      <c r="F141" s="309">
        <f>SUMPRODUCT(Table4[Total BOD removed],--(Table4[Total BOD removed]&lt;&gt;""),--(Table4[Total Energy Cost]&lt;&gt;""),--(Table4[Year]=B141))</f>
        <v>1036809.96828</v>
      </c>
      <c r="G141" s="310">
        <f>SUMPRODUCT(Table4[Total Energy Cost],--(Table4[Year]=B141),--(Table4[Total BOD removed]&lt;&gt;""),--(Table4[Total Energy Cost]&lt;&gt;""))</f>
        <v>150239.925</v>
      </c>
      <c r="H141" s="147">
        <f t="shared" si="14"/>
        <v>0.14490594187596229</v>
      </c>
      <c r="I141" s="298">
        <f>SUMPRODUCT(--(Table4[Total BOD removed]&lt;&gt;""),--(Table4[Total Energy Cost]&lt;&gt;""),--(Table4[Year]=B141))</f>
        <v>12</v>
      </c>
    </row>
    <row r="142" ht="15">
      <c r="B142" s="56"/>
    </row>
    <row r="143" ht="15" thickBot="1">
      <c r="B143" s="56"/>
    </row>
    <row r="144" spans="2:23" ht="15">
      <c r="B144" s="167"/>
      <c r="C144" s="191" t="s">
        <v>131</v>
      </c>
      <c r="D144" s="168"/>
      <c r="E144" s="168"/>
      <c r="F144" s="168"/>
      <c r="G144" s="168"/>
      <c r="H144" s="168"/>
      <c r="I144" s="168"/>
      <c r="J144" s="168"/>
      <c r="K144" s="168"/>
      <c r="L144" s="383"/>
      <c r="M144" s="383"/>
      <c r="N144" s="383"/>
      <c r="O144" s="169"/>
      <c r="S144"/>
      <c r="T144" s="108"/>
      <c r="V144"/>
      <c r="W144" s="114"/>
    </row>
    <row r="145" spans="1:27" s="52" customFormat="1" ht="69" customHeight="1">
      <c r="A145" s="53"/>
      <c r="B145" s="173" t="s">
        <v>59</v>
      </c>
      <c r="C145" s="174" t="s">
        <v>104</v>
      </c>
      <c r="D145" s="174" t="s">
        <v>129</v>
      </c>
      <c r="E145" s="174" t="s">
        <v>137</v>
      </c>
      <c r="F145" s="174" t="s">
        <v>128</v>
      </c>
      <c r="G145" s="174" t="s">
        <v>51</v>
      </c>
      <c r="H145" s="174" t="s">
        <v>130</v>
      </c>
      <c r="I145" s="174" t="s">
        <v>132</v>
      </c>
      <c r="J145" s="174" t="s">
        <v>70</v>
      </c>
      <c r="K145" s="125" t="s">
        <v>135</v>
      </c>
      <c r="L145" s="290" t="s">
        <v>190</v>
      </c>
      <c r="M145" s="290" t="s">
        <v>191</v>
      </c>
      <c r="N145" s="290" t="str">
        <f>IF(SUMPRODUCT(--(Table4[Total Electric Demand (Actual)]&lt;&gt;""))&gt;SUMPRODUCT(--(Table4[Total Electric Demand (Billed)]&lt;&gt;"")),L145,M145)</f>
        <v>Avg Billed Electric Demand (kW)</v>
      </c>
      <c r="O145" s="175" t="s">
        <v>136</v>
      </c>
      <c r="Q145" s="110"/>
      <c r="X145" s="110"/>
      <c r="AA145" s="117"/>
    </row>
    <row r="146" spans="1:26" s="52" customFormat="1" ht="15">
      <c r="A146" s="53"/>
      <c r="B146" s="173" t="s">
        <v>107</v>
      </c>
      <c r="C146" s="174"/>
      <c r="D146" s="174" t="s">
        <v>47</v>
      </c>
      <c r="E146" s="174"/>
      <c r="F146" s="174" t="s">
        <v>65</v>
      </c>
      <c r="G146" s="174" t="s">
        <v>51</v>
      </c>
      <c r="H146" s="174"/>
      <c r="I146" s="174"/>
      <c r="J146" s="174"/>
      <c r="K146" s="54" t="s">
        <v>65</v>
      </c>
      <c r="L146" s="384" t="s">
        <v>192</v>
      </c>
      <c r="M146" s="384" t="s">
        <v>192</v>
      </c>
      <c r="N146" s="384"/>
      <c r="O146" s="192" t="s">
        <v>67</v>
      </c>
      <c r="Q146" s="110"/>
      <c r="W146" s="110"/>
      <c r="Z146" s="117"/>
    </row>
    <row r="147" spans="1:26" s="52" customFormat="1" ht="31.5" customHeight="1">
      <c r="A147" s="53"/>
      <c r="B147" s="173" t="s">
        <v>106</v>
      </c>
      <c r="C147" s="174" t="str">
        <f>"Baseline: "&amp;TEXT(DATE(YEAR(B$4),MONTH(B$4),DAY(B$4)),"mmm yyyy")&amp;" - "&amp;TEXT(DATE(YEAR(B$27),MONTH(B$27),DAY(B$27)),"mmm yyyy")</f>
        <v>Baseline: Jul 2015 - Jun 2017</v>
      </c>
      <c r="D147" s="176">
        <f>(SUMPRODUCT(--(Table4[Year]=1),--(Table4[Total Energy Usage]&lt;&gt;""),Table4[Avg Daily Flow])+SUMPRODUCT(--(Table4[Year]=2),--(Table4[Total Energy Usage]&lt;&gt;""),Table4[Avg Daily Flow]))/(SUMPRODUCT(--(Table4[Year]=1),--(Table4[Total Energy Usage]&lt;&gt;""),--(Table4[Avg Daily Flow]&lt;&gt;""))+SUMPRODUCT(--(Table4[Year]=2),--(Table4[Total Energy Usage]&lt;&gt;""),--(Table4[Avg Daily Flow]&lt;&gt;"")))</f>
        <v>2.0175</v>
      </c>
      <c r="E147" s="193">
        <f>(SUMPRODUCT(--(Table4[Year]=1),--(Table4[Total Energy Usage]&lt;&gt;""),Table4[Monthly Flow])+SUMPRODUCT(--(Table4[Year]=2),--(Table4[Total Energy Usage]&lt;&gt;""),Table4[Monthly Flow]))</f>
        <v>1476.3600000000001</v>
      </c>
      <c r="F147" s="194">
        <f>(SUMPRODUCT(--(Table4[Year]=1),--(Table4[Monthly Flow]&lt;&gt;""),Table4[Total Energy Usage])+SUMPRODUCT(--(Table4[Year]=2),--(Table4[Monthly Flow]&lt;&gt;""),Table4[Total Energy Usage]))/(SUMPRODUCT(--(Table4[Year]=1),--(Table4[Total Energy Usage]&lt;&gt;""),--(Table4[Monthly Flow]&lt;&gt;""))+SUMPRODUCT(--(Table4[Year]=2),--(Table4[Total Energy Usage]&lt;&gt;""),--(Table4[Monthly Flow]&lt;&gt;"")))</f>
        <v>173165.18333333335</v>
      </c>
      <c r="G147" s="195">
        <f>SUM(G98:G99)/SUM(F98:F99)</f>
        <v>2815.007450757268</v>
      </c>
      <c r="H147" s="185">
        <f>(SUMPRODUCT(--(Table4[Year]=1),--(Table4[Avg Daily Flow]&lt;&gt;""),Table4[Total Energy Cost])+SUMPRODUCT(--(Table4[Year]=2),--(Table4[Avg Daily Flow]&lt;&gt;""),Table4[Total Energy Cost]))/(SUMPRODUCT(--(Table4[Year]=1),--(Table4[Total Energy Cost]&lt;&gt;""),--(Table4[Avg Daily Flow]&lt;&gt;""))+SUMPRODUCT(--(Table4[Year]=2),--(Table4[Total Energy Cost]&lt;&gt;""),--(Table4[Avg Daily Flow]&lt;&gt;"")))</f>
        <v>14028.161</v>
      </c>
      <c r="I147" s="196">
        <f>(SUMPRODUCT(--(Table4[Year]=1),--(Table4[Electric kWh usage]&lt;&gt;""),Table4[Total electric cost])+SUMPRODUCT(--(Table4[Year]=2),--(Table4[Electric kWh usage]&lt;&gt;""),Table4[Total electric cost]))/(SUMPRODUCT(--(Table4[Year]=1),--(Table4[Total electric cost]&lt;&gt;""),--(Table4[Electric kWh usage]&lt;&gt;""),Table4[Electric kWh usage])+SUMPRODUCT(--(Table4[Year]=2),--(Table4[Total electric cost]&lt;&gt;""),--(Table4[Electric kWh usage]&lt;&gt;""),Table4[Electric kWh usage]))</f>
        <v>0.08101028584364196</v>
      </c>
      <c r="J147" s="185">
        <f>(SUMPRODUCT(--(Table4[Year]=1),--(Table4[Monthly Flow]&lt;&gt;""),Table4[Total Energy Cost])+SUMPRODUCT(--(Table4[Year]=2),--(Table4[Monthly Flow]&lt;&gt;""),Table4[Total Energy Cost]))/(SUMPRODUCT(--(Table4[Year]=1),--(Table4[Total Energy Cost]&lt;&gt;""),Table4[Monthly Flow])+SUMPRODUCT(--(Table4[Year]=2),--(Table4[Total Energy Cost]&lt;&gt;""),Table4[Monthly Flow]))</f>
        <v>228.04455823782814</v>
      </c>
      <c r="K147" s="125" t="s">
        <v>134</v>
      </c>
      <c r="L147" s="290">
        <f>(SUMPRODUCT(--(Table4[Year]=1),Table4[Total Electric Demand (Actual)])+SUMPRODUCT(--(Table4[Year]=2),Table4[Total Electric Demand (Actual)]))/(SUMPRODUCT(--(Table4[Year]=1),--(Table4[Total Electric Demand (Actual)]&lt;&gt;""))+SUMPRODUCT(--(Table4[Year]=2),--(Table4[Total Electric Demand (Actual)]&lt;&gt;"")))</f>
        <v>319.125</v>
      </c>
      <c r="M147" s="290">
        <f>(SUMPRODUCT(--(Table4[Year]=1),Table4[Total Electric Demand (Billed)])+SUMPRODUCT(--(Table4[Year]=2),Table4[Total Electric Demand (Billed)]))/(SUMPRODUCT(--(Table4[Year]=1),--(Table4[Total Electric Demand (Billed)]&lt;&gt;""))+SUMPRODUCT(--(Table4[Year]=2),--(Table4[Total Electric Demand (Billed)]&lt;&gt;"")))</f>
        <v>330.75</v>
      </c>
      <c r="N147" s="290">
        <f>IF(N$145=M$145,M147,L147)</f>
        <v>330.75</v>
      </c>
      <c r="O147" s="197" t="s">
        <v>134</v>
      </c>
      <c r="P147" s="165"/>
      <c r="Q147" s="110"/>
      <c r="R147" s="154"/>
      <c r="W147" s="110"/>
      <c r="Z147" s="117"/>
    </row>
    <row r="148" spans="1:26" s="52" customFormat="1" ht="15">
      <c r="A148" s="53"/>
      <c r="B148" s="173"/>
      <c r="C148" s="174"/>
      <c r="D148" s="176"/>
      <c r="E148" s="176"/>
      <c r="F148" s="194"/>
      <c r="G148" s="174"/>
      <c r="H148" s="174"/>
      <c r="I148" s="196"/>
      <c r="J148" s="185"/>
      <c r="K148" s="125"/>
      <c r="L148" s="290"/>
      <c r="M148" s="290"/>
      <c r="N148" s="290"/>
      <c r="O148" s="197"/>
      <c r="P148" s="165"/>
      <c r="Q148" s="110"/>
      <c r="W148" s="110"/>
      <c r="Z148" s="117"/>
    </row>
    <row r="149" spans="2:26" ht="15">
      <c r="B149" s="177">
        <v>3</v>
      </c>
      <c r="C149" s="171" t="str">
        <f>TEXT(DATE(YEAR(B$28),MONTH(B$28),DAY(B$28)),"mmm yyyy")&amp;" - "&amp;TEXT(DATE(YEAR(B$39),MONTH(B$39),DAY(B$39)),"mmm yyyy")</f>
        <v>Jul 2017 - Jun 2018</v>
      </c>
      <c r="D149" s="198">
        <f>SUMPRODUCT(--(Table4[Total Energy Usage]&lt;&gt;""),--(Table4[Year]=B149),Table4[Avg Daily Flow])/SUMPRODUCT(--(Table4[Total Energy Usage]&lt;&gt;""),--(Table4[Avg Daily Flow]&lt;&gt;""),--(Table4[Year]=B149))</f>
        <v>1.9883333333333333</v>
      </c>
      <c r="E149" s="199">
        <f>SUMPRODUCT(--(Table4[Year]=B149),--(Table4[Total Energy Usage]&lt;&gt;""),Table4[Monthly Flow])</f>
        <v>725.16</v>
      </c>
      <c r="F149" s="200">
        <f>_xlfn.IFERROR(SUMPRODUCT(--(Table4[Year]=B149),--(Table4[Monthly Flow]&lt;&gt;""),Table4[Total Energy Usage])/SUMPRODUCT(--(Table4[Year]=B149),--(Table4[Monthly Flow]&lt;&gt;""),--(Table4[Total Energy Usage]&lt;&gt;"")),"")</f>
        <v>153067.25</v>
      </c>
      <c r="G149" s="178">
        <f>H100</f>
        <v>2532.96789674003</v>
      </c>
      <c r="H149" s="188">
        <f>SUMPRODUCT(--(Table4[Avg Daily Flow]&lt;&gt;""),--(Table4[Year]=B149),Table4[Total Energy Cost])/SUMPRODUCT(--(Table4[Avg Daily Flow]&lt;&gt;""),--(Table4[Year]=B149),--(Table4[Total Energy Cost]&lt;&gt;""))</f>
        <v>13353.371250000002</v>
      </c>
      <c r="I149" s="201">
        <f>SUMPRODUCT(--(Table4[Year]=B149),--(Table4[Electric kWh usage]&lt;&gt;""),Table4[Total electric cost])/SUMPRODUCT(--(Table4[Year]=B149),--(Table4[Total electric cost]&lt;&gt;""),Table4[Electric kWh usage])</f>
        <v>0.08723859120745947</v>
      </c>
      <c r="J149" s="188">
        <f>(SUMPRODUCT(--(Table4[Year]=B149),--(Table4[Monthly Flow]&lt;&gt;""),Table4[Total Energy Cost]))/(SUMPRODUCT(--(Table4[Year]=B149),--(Table4[Total Energy Cost]&lt;&gt;""),Table4[Monthly Flow]))</f>
        <v>220.97255088532188</v>
      </c>
      <c r="K149" s="133">
        <f>(G$147-G149)*E149</f>
        <v>204523.80299114034</v>
      </c>
      <c r="L149" s="385">
        <f>SUMPRODUCT(--(Table4[Year]=B149),Table4[Total Electric Demand (Actual)])/SUMPRODUCT(--(Table4[Year]=B149),--(Table4[Total Electric Demand (Actual)]&lt;&gt;""))</f>
        <v>267</v>
      </c>
      <c r="M149" s="385">
        <f>SUMPRODUCT(--(Table4[Year]=B149),Table4[Total Electric Demand (Billed)])/SUMPRODUCT(--(Table4[Year]=B149),--(Table4[Total Electric Demand (Billed)]&lt;&gt;""))</f>
        <v>288.5</v>
      </c>
      <c r="N149" s="290">
        <f aca="true" t="shared" si="15" ref="N149:N154">IF(N$145=M$145,M149,L149)</f>
        <v>288.5</v>
      </c>
      <c r="O149" s="202">
        <f>(J$147-J149)*E149</f>
        <v>5128.33685174344</v>
      </c>
      <c r="P149" s="190"/>
      <c r="Q149" s="108"/>
      <c r="S149"/>
      <c r="V149"/>
      <c r="W149" s="108"/>
      <c r="Z149" s="114"/>
    </row>
    <row r="150" spans="2:26" ht="15">
      <c r="B150" s="177">
        <v>4</v>
      </c>
      <c r="C150" s="171" t="str">
        <f>TEXT(DATE(YEAR(B$40),MONTH(B$40),DAY(B$40)),"mmm yyyy")&amp;" - "&amp;TEXT(DATE(YEAR(B$51),MONTH(B$51),DAY(B$51)),"mmm yyyy")</f>
        <v>Jul 2018 - Jun 2019</v>
      </c>
      <c r="D150" s="198">
        <f>SUMPRODUCT(--(Table4[Total Energy Usage]&lt;&gt;""),--(Table4[Year]=B150),Table4[Avg Daily Flow])/SUMPRODUCT(--(Table4[Total Energy Usage]&lt;&gt;""),--(Table4[Avg Daily Flow]&lt;&gt;""),--(Table4[Year]=B150))</f>
        <v>2.0366666666666666</v>
      </c>
      <c r="E150" s="199">
        <f>SUMPRODUCT(--(Table4[Year]=B150),--(Table4[Total Energy Usage]&lt;&gt;""),Table4[Monthly Flow])</f>
        <v>745.08</v>
      </c>
      <c r="F150" s="200">
        <f>_xlfn.IFERROR(SUMPRODUCT(--(Table4[Year]=B150),--(Table4[Monthly Flow]&lt;&gt;""),Table4[Total Energy Usage])/SUMPRODUCT(--(Table4[Year]=B150),--(Table4[Monthly Flow]&lt;&gt;""),--(Table4[Total Energy Usage]&lt;&gt;"")),"")</f>
        <v>160175.41666666666</v>
      </c>
      <c r="G150" s="178">
        <f>H101</f>
        <v>2579.729693455736</v>
      </c>
      <c r="H150" s="188">
        <f>SUMPRODUCT(--(Table4[Avg Daily Flow]&lt;&gt;""),--(Table4[Year]=B150),Table4[Total Energy Cost])/SUMPRODUCT(--(Table4[Avg Daily Flow]&lt;&gt;""),--(Table4[Year]=B150),--(Table4[Total Energy Cost]&lt;&gt;""))</f>
        <v>13673.568749999999</v>
      </c>
      <c r="I150" s="201">
        <f>SUMPRODUCT(--(Table4[Year]=B150),--(Table4[Electric kWh usage]&lt;&gt;""),Table4[Total electric cost])/SUMPRODUCT(--(Table4[Year]=B150),--(Table4[Total electric cost]&lt;&gt;""),Table4[Electric kWh usage])</f>
        <v>0.08536621308409269</v>
      </c>
      <c r="J150" s="188">
        <f>(SUMPRODUCT(--(Table4[Year]=B150),--(Table4[Monthly Flow]&lt;&gt;""),Table4[Total Energy Cost]))/(SUMPRODUCT(--(Table4[Year]=B150),--(Table4[Total Energy Cost]&lt;&gt;""),Table4[Monthly Flow]))</f>
        <v>220.2217547109035</v>
      </c>
      <c r="K150" s="133">
        <f>(G$147-G150)*E150</f>
        <v>175300.7514102254</v>
      </c>
      <c r="L150" s="385">
        <f>SUMPRODUCT(--(Table4[Year]=B150),Table4[Total Electric Demand (Actual)])/SUMPRODUCT(--(Table4[Year]=B150),--(Table4[Total Electric Demand (Actual)]&lt;&gt;""))</f>
        <v>279.1666666666667</v>
      </c>
      <c r="M150" s="385">
        <f>SUMPRODUCT(--(Table4[Year]=B150),Table4[Total Electric Demand (Billed)])/SUMPRODUCT(--(Table4[Year]=B150),--(Table4[Total Electric Demand (Billed)]&lt;&gt;""))</f>
        <v>283.6666666666667</v>
      </c>
      <c r="N150" s="290">
        <f t="shared" si="15"/>
        <v>283.6666666666667</v>
      </c>
      <c r="O150" s="202">
        <f>(J$147-J150)*E150</f>
        <v>5828.614451841015</v>
      </c>
      <c r="P150" s="57"/>
      <c r="Q150" s="108"/>
      <c r="S150"/>
      <c r="V150"/>
      <c r="W150" s="108"/>
      <c r="Z150" s="114"/>
    </row>
    <row r="151" spans="2:26" ht="15">
      <c r="B151" s="177">
        <v>5</v>
      </c>
      <c r="C151" s="171" t="str">
        <f>TEXT(DATE(YEAR(B$52),MONTH(B$52),DAY(B$52)),"mmm yyyy")&amp;" - "&amp;TEXT(DATE(YEAR(B$63),MONTH(B$63),DAY(B$63)),"mmm yyyy")</f>
        <v>Jul 2019 - Jun 2020</v>
      </c>
      <c r="D151" s="198">
        <f>SUMPRODUCT(--(Table4[Total Energy Usage]&lt;&gt;""),--(Table4[Year]=B151),Table4[Avg Daily Flow])/SUMPRODUCT(--(Table4[Total Energy Usage]&lt;&gt;""),--(Table4[Avg Daily Flow]&lt;&gt;""),--(Table4[Year]=B151))</f>
        <v>2.0283333333333333</v>
      </c>
      <c r="E151" s="199">
        <f>(SUMPRODUCT(--(Table4[Year]=B151),--(Table4[Total Energy Usage]&lt;&gt;""),Table4[Monthly Flow]))</f>
        <v>741.6199999999999</v>
      </c>
      <c r="F151" s="200">
        <f>_xlfn.IFERROR(SUMPRODUCT(--(Table4[Year]=B151),--(Table4[Monthly Flow]&lt;&gt;""),Table4[Total Energy Usage])/SUMPRODUCT(--(Table4[Year]=B151),--(Table4[Monthly Flow]&lt;&gt;""),--(Table4[Total Energy Usage]&lt;&gt;"")),"")</f>
        <v>143669.08333333334</v>
      </c>
      <c r="G151" s="178">
        <f>H102</f>
        <v>2324.6797551306604</v>
      </c>
      <c r="H151" s="188">
        <f>SUMPRODUCT(--(Table4[Avg Daily Flow]&lt;&gt;""),--(Table4[Year]=B151),Table4[Total Energy Cost])/SUMPRODUCT(--(Table4[Avg Daily Flow]&lt;&gt;""),--(Table4[Year]=B151),--(Table4[Total Energy Cost]&lt;&gt;""))</f>
        <v>12412.032083333334</v>
      </c>
      <c r="I151" s="201">
        <f>SUMPRODUCT(--(Table4[Year]=B151),--(Table4[Electric kWh usage]&lt;&gt;""),Table4[Total electric cost])/SUMPRODUCT(--(Table4[Year]=B151),--(Table4[Total electric cost]&lt;&gt;""),Table4[Electric kWh usage])</f>
        <v>0.08639320162247852</v>
      </c>
      <c r="J151" s="188">
        <f>(SUMPRODUCT(--(Table4[Year]=B151),--(Table4[Monthly Flow]&lt;&gt;""),Table4[Total Energy Cost]))/(SUMPRODUCT(--(Table4[Year]=B151),--(Table4[Total Energy Cost]&lt;&gt;""),Table4[Monthly Flow]))</f>
        <v>200.8365267926971</v>
      </c>
      <c r="K151" s="133">
        <f>(G$147-G151)*E151</f>
        <v>363636.82563060476</v>
      </c>
      <c r="L151" s="385">
        <f>SUMPRODUCT(--(Table4[Year]=B151),Table4[Total Electric Demand (Actual)])/SUMPRODUCT(--(Table4[Year]=B151),--(Table4[Total Electric Demand (Actual)]&lt;&gt;""))</f>
        <v>249.08333333333334</v>
      </c>
      <c r="M151" s="385">
        <f>SUMPRODUCT(--(Table4[Year]=B151),Table4[Total Electric Demand (Billed)])/SUMPRODUCT(--(Table4[Year]=B151),--(Table4[Total Electric Demand (Billed)]&lt;&gt;""))</f>
        <v>260.8333333333333</v>
      </c>
      <c r="N151" s="290">
        <f t="shared" si="15"/>
        <v>260.8333333333333</v>
      </c>
      <c r="O151" s="202">
        <f>(J$147-J151)*E151</f>
        <v>20178.02028033808</v>
      </c>
      <c r="P151" s="57"/>
      <c r="Q151" s="108"/>
      <c r="S151"/>
      <c r="V151"/>
      <c r="W151" s="108"/>
      <c r="Z151" s="114"/>
    </row>
    <row r="152" spans="2:26" ht="15">
      <c r="B152" s="177">
        <v>6</v>
      </c>
      <c r="C152" s="171" t="str">
        <f>TEXT(DATE(YEAR(B$64),MONTH(B$64),DAY(B$64)),"mmm yyyy")&amp;" - "&amp;TEXT(DATE(YEAR(B$75),MONTH(B$75),DAY(B$75)),"mmm yyyy")</f>
        <v>Jul 2020 - Jun 2021</v>
      </c>
      <c r="D152" s="198">
        <f>SUMPRODUCT(--(Table4[Total Energy Usage]&lt;&gt;""),--(Table4[Year]=B152),Table4[Avg Daily Flow])/SUMPRODUCT(--(Table4[Total Energy Usage]&lt;&gt;""),--(Table4[Avg Daily Flow]&lt;&gt;""),--(Table4[Year]=B152))</f>
        <v>1.9916666666666665</v>
      </c>
      <c r="E152" s="199">
        <f>(SUMPRODUCT(--(Table4[Year]=B152),--(Table4[Total Energy Usage]&lt;&gt;""),Table4[Monthly Flow]))</f>
        <v>726.96</v>
      </c>
      <c r="F152" s="200">
        <f>_xlfn.IFERROR(SUMPRODUCT(--(Table4[Year]=B152),--(Table4[Monthly Flow]&lt;&gt;""),Table4[Total Energy Usage])/SUMPRODUCT(--(Table4[Year]=B152),--(Table4[Monthly Flow]&lt;&gt;""),--(Table4[Total Energy Usage]&lt;&gt;"")),"")</f>
        <v>141379.75</v>
      </c>
      <c r="G152" s="178">
        <f>H103</f>
        <v>2333.769395840211</v>
      </c>
      <c r="H152" s="188">
        <f>SUMPRODUCT(--(Table4[Avg Daily Flow]&lt;&gt;""),--(Table4[Year]=B152),Table4[Total Energy Cost])/SUMPRODUCT(--(Table4[Avg Daily Flow]&lt;&gt;""),--(Table4[Year]=B152),--(Table4[Total Energy Cost]&lt;&gt;""))</f>
        <v>12957.04125</v>
      </c>
      <c r="I152" s="201">
        <f>SUMPRODUCT(--(Table4[Year]=B152),--(Table4[Electric kWh usage]&lt;&gt;""),Table4[Total electric cost])/SUMPRODUCT(--(Table4[Year]=B152),--(Table4[Total electric cost]&lt;&gt;""),Table4[Electric kWh usage])</f>
        <v>0.09164707993895872</v>
      </c>
      <c r="J152" s="188">
        <f>(SUMPRODUCT(--(Table4[Year]=B152),--(Table4[Monthly Flow]&lt;&gt;""),Table4[Total Energy Cost]))/(SUMPRODUCT(--(Table4[Year]=B152),--(Table4[Total Energy Cost]&lt;&gt;""),Table4[Monthly Flow]))</f>
        <v>213.88315037966325</v>
      </c>
      <c r="K152" s="133">
        <f>(G$147-G152)*E152</f>
        <v>349840.8164025038</v>
      </c>
      <c r="L152" s="385">
        <f>SUMPRODUCT(--(Table4[Year]=B152),Table4[Total Electric Demand (Actual)])/SUMPRODUCT(--(Table4[Year]=B152),--(Table4[Total Electric Demand (Actual)]&lt;&gt;""))</f>
        <v>243.33333333333334</v>
      </c>
      <c r="M152" s="385">
        <f>SUMPRODUCT(--(Table4[Year]=B152),Table4[Total Electric Demand (Billed)])/SUMPRODUCT(--(Table4[Year]=B152),--(Table4[Total Electric Demand (Billed)]&lt;&gt;""))</f>
        <v>248.25</v>
      </c>
      <c r="N152" s="290">
        <f t="shared" si="15"/>
        <v>248.25</v>
      </c>
      <c r="O152" s="202">
        <f>(J$147-J152)*E152</f>
        <v>10294.777056571551</v>
      </c>
      <c r="P152" s="57"/>
      <c r="Q152" s="108"/>
      <c r="S152"/>
      <c r="V152"/>
      <c r="W152" s="108"/>
      <c r="Z152" s="114"/>
    </row>
    <row r="153" spans="2:26" ht="15">
      <c r="B153" s="177">
        <v>7</v>
      </c>
      <c r="C153" s="171" t="str">
        <f>TEXT(DATE(YEAR(B$76),MONTH(B$76),DAY(B$76)),"mmm yyyy")&amp;" - "&amp;TEXT(DATE(YEAR(B$87),MONTH(B$87),DAY(B$87)),"mmm yyyy")</f>
        <v>Jul 2021 - Jun 2022</v>
      </c>
      <c r="D153" s="198">
        <f>SUMPRODUCT(--(Table4[Total Energy Usage]&lt;&gt;""),--(Table4[Year]=B153),Table4[Avg Daily Flow])/SUMPRODUCT(--(Table4[Total Energy Usage]&lt;&gt;""),--(Table4[Avg Daily Flow]&lt;&gt;""),--(Table4[Year]=B153))</f>
        <v>1.86</v>
      </c>
      <c r="E153" s="199">
        <f>(SUMPRODUCT(--(Table4[Year]=B153),--(Table4[Total Energy Usage]&lt;&gt;""),Table4[Monthly Flow]))</f>
        <v>679.4800000000001</v>
      </c>
      <c r="F153" s="200">
        <f>_xlfn.IFERROR(SUMPRODUCT(--(Table4[Year]=B153),--(Table4[Monthly Flow]&lt;&gt;""),Table4[Total Energy Usage])/SUMPRODUCT(--(Table4[Year]=B153),--(Table4[Monthly Flow]&lt;&gt;""),--(Table4[Total Energy Usage]&lt;&gt;"")),"")</f>
        <v>128026.58333333333</v>
      </c>
      <c r="G153" s="178">
        <f>H104</f>
        <v>2261.021663625125</v>
      </c>
      <c r="H153" s="188">
        <f>SUMPRODUCT(--(Table4[Avg Daily Flow]&lt;&gt;""),--(Table4[Year]=B153),Table4[Total Energy Cost])/SUMPRODUCT(--(Table4[Avg Daily Flow]&lt;&gt;""),--(Table4[Year]=B153),--(Table4[Total Energy Cost]&lt;&gt;""))</f>
        <v>12519.99375</v>
      </c>
      <c r="I153" s="201">
        <f>SUMPRODUCT(--(Table4[Year]=B153),--(Table4[Electric kWh usage]&lt;&gt;""),Table4[Total electric cost])/SUMPRODUCT(--(Table4[Year]=B153),--(Table4[Total electric cost]&lt;&gt;""),Table4[Electric kWh usage])</f>
        <v>0.09779214147582631</v>
      </c>
      <c r="J153" s="188">
        <f>(SUMPRODUCT(--(Table4[Year]=B153),--(Table4[Monthly Flow]&lt;&gt;""),Table4[Total Energy Cost]))/(SUMPRODUCT(--(Table4[Year]=B153),--(Table4[Total Energy Cost]&lt;&gt;""),Table4[Monthly Flow]))</f>
        <v>221.11015040913634</v>
      </c>
      <c r="K153" s="133">
        <f>(G$147-G153)*E153</f>
        <v>376422.2626405488</v>
      </c>
      <c r="L153" s="385">
        <f>SUMPRODUCT(--(Table4[Year]=B153),Table4[Total Electric Demand (Actual)])/SUMPRODUCT(--(Table4[Year]=B153),--(Table4[Total Electric Demand (Actual)]&lt;&gt;""))</f>
        <v>219.41666666666666</v>
      </c>
      <c r="M153" s="385">
        <f>SUMPRODUCT(--(Table4[Year]=B153),Table4[Total Electric Demand (Billed)])/SUMPRODUCT(--(Table4[Year]=B153),--(Table4[Total Electric Demand (Billed)]&lt;&gt;""))</f>
        <v>227.75</v>
      </c>
      <c r="N153" s="290">
        <f t="shared" si="15"/>
        <v>227.75</v>
      </c>
      <c r="O153" s="202">
        <f>(J$147-J153)*E153</f>
        <v>4711.7914314395075</v>
      </c>
      <c r="P153" s="57"/>
      <c r="Q153" s="108"/>
      <c r="S153"/>
      <c r="V153"/>
      <c r="W153" s="108"/>
      <c r="Z153" s="114"/>
    </row>
    <row r="154" spans="2:23" ht="15">
      <c r="B154" s="170"/>
      <c r="C154" s="171" t="s">
        <v>140</v>
      </c>
      <c r="D154" s="204">
        <f>((SUMPRODUCT(--(Table4[Total Energy Usage]&lt;&gt;""),--(Table4[Year]=3),Table4[Avg Daily Flow])+SUMPRODUCT(--(Table4[Total Energy Usage]&lt;&gt;""),--(Table4[Year]=4),Table4[Avg Daily Flow])+SUMPRODUCT(--(Table4[Total Energy Usage]&lt;&gt;""),--(Table4[Year]=5),Table4[Avg Daily Flow])+SUMPRODUCT(--(Table4[Total Energy Usage]&lt;&gt;""),--(Table4[Year]=6),Table4[Avg Daily Flow])+SUMPRODUCT(--(Table4[Total Energy Usage]&lt;&gt;""),--(Table4[Year]=7),Table4[Avg Daily Flow]))/(SUMPRODUCT(--(Table4[Total Energy Usage]&lt;&gt;""),--(Table4[Avg Daily Flow]&lt;&gt;""),--(Table4[Year]=3))+SUMPRODUCT(--(Table4[Total Energy Usage]&lt;&gt;""),--(Table4[Avg Daily Flow]&lt;&gt;""),--(Table4[Year]=4))+SUMPRODUCT(--(Table4[Total Energy Usage]&lt;&gt;""),--(Table4[Avg Daily Flow]&lt;&gt;""),--(Table4[Year]=5))+SUMPRODUCT(--(Table4[Total Energy Usage]&lt;&gt;""),--(Table4[Avg Daily Flow]&lt;&gt;""),--(Table4[Year]=6))+SUMPRODUCT(--(Table4[Total Energy Usage]&lt;&gt;""),--(Table4[Avg Daily Flow]&lt;&gt;""),--(Table4[Year]=7))))/D147-1</f>
        <v>-0.018091697645601146</v>
      </c>
      <c r="E154" s="171"/>
      <c r="F154" s="204">
        <f>(((SUMPRODUCT(--(Table4[Year]=3),--(Table4[Monthly Flow]&lt;&gt;""),Table4[Total Energy Usage])+SUMPRODUCT(--(Table4[Year]=4),--(Table4[Monthly Flow]&lt;&gt;""),Table4[Total Energy Usage])+SUMPRODUCT(--(Table4[Year]=5),--(Table4[Monthly Flow]&lt;&gt;""),Table4[Total Energy Usage])+SUMPRODUCT(--(Table4[Year]=6),--(Table4[Monthly Flow]&lt;&gt;""),Table4[Total Energy Usage])+SUMPRODUCT(--(Table4[Year]=7),--(Table4[Monthly Flow]&lt;&gt;""),Table4[Total Energy Usage]))/(SUMPRODUCT(--(Table4[Year]=3),--(Table4[Total Energy Usage]&lt;&gt;""),--(Table4[Monthly Flow]&lt;&gt;""))+SUMPRODUCT(--(Table4[Year]=4),--(Table4[Total Energy Usage]&lt;&gt;""),--(Table4[Monthly Flow]&lt;&gt;""))+SUMPRODUCT(--(Table4[Year]=5),--(Table4[Total Energy Usage]&lt;&gt;""),--(Table4[Monthly Flow]&lt;&gt;""))+SUMPRODUCT(--(Table4[Year]=6),--(Table4[Total Energy Usage]&lt;&gt;""),--(Table4[Monthly Flow]&lt;&gt;""))+SUMPRODUCT(--(Table4[Year]=7),--(Table4[Total Energy Usage]&lt;&gt;""),--(Table4[Monthly Flow]&lt;&gt;""))))/F147)-1</f>
        <v>-0.1611268854949769</v>
      </c>
      <c r="G154" s="205">
        <f>((SUMPRODUCT(--(Table4[Avg Daily Flow]&lt;&gt;""),--(Table4[Year]=3),Table4[Total Energy Usage])+SUMPRODUCT(--(Table4[Avg Daily Flow]&lt;&gt;""),--(Table4[Year]=4),Table4[Total Energy Usage])+SUMPRODUCT(--(Table4[Avg Daily Flow]&lt;&gt;""),--(Table4[Year]=5),Table4[Total Energy Usage])+SUMPRODUCT(--(Table4[Avg Daily Flow]&lt;&gt;""),--(Table4[Year]=6),Table4[Total Energy Usage])+SUMPRODUCT(--(Table4[Avg Daily Flow]&lt;&gt;""),--(Table4[Year]=7),Table4[Total Energy Usage]))/(SUMPRODUCT(--(Table4[Total Energy Usage]&lt;&gt;""),--(Table4[Year]=3),Table4[Monthly Flow])+SUMPRODUCT(--(Table4[Total Energy Usage]&lt;&gt;""),--(Table4[Year]=4),Table4[Monthly Flow])+SUMPRODUCT(--(Table4[Total Energy Usage]&lt;&gt;""),--(Table4[Year]=5),Table4[Monthly Flow])+SUMPRODUCT(--(Table4[Total Energy Usage]&lt;&gt;""),--(Table4[Year]=6),Table4[Monthly Flow])+SUMPRODUCT(--(Table4[Total Energy Usage]&lt;&gt;""),--(Table4[Year]=7),Table4[Monthly Flow])))/G147-1</f>
        <v>-0.1442951722282314</v>
      </c>
      <c r="H154" s="204">
        <f>((SUMPRODUCT(--(Table4[Avg Daily Flow]&lt;&gt;""),--(Table4[Year]=3),Table4[Total Energy Cost])+SUMPRODUCT(--(Table4[Avg Daily Flow]&lt;&gt;""),--(Table4[Year]=4),Table4[Total Energy Cost])+SUMPRODUCT(--(Table4[Avg Daily Flow]&lt;&gt;""),--(Table4[Year]=5),Table4[Total Energy Cost])+SUMPRODUCT(--(Table4[Avg Daily Flow]&lt;&gt;""),--(Table4[Year]=6),Table4[Total Energy Cost])+SUMPRODUCT(--(Table4[Avg Daily Flow]&lt;&gt;""),--(Table4[Year]=7),Table4[Total Energy Cost]))/(SUMPRODUCT(--(Table4[Avg Daily Flow]&lt;&gt;""),--(Table4[Year]=3),--(Table4[Total Energy Cost]&lt;&gt;""))+SUMPRODUCT(--(Table4[Avg Daily Flow]&lt;&gt;""),--(Table4[Year]=4),--(Table4[Total Energy Cost]&lt;&gt;""))+SUMPRODUCT(--(Table4[Avg Daily Flow]&lt;&gt;""),--(Table4[Year]=5),--(Table4[Total Energy Cost]&lt;&gt;""))+SUMPRODUCT(--(Table4[Avg Daily Flow]&lt;&gt;""),--(Table4[Year]=6),--(Table4[Total Energy Cost]&lt;&gt;""))+SUMPRODUCT(--(Table4[Avg Daily Flow]&lt;&gt;""),--(Table4[Year]=7),--(Table4[Total Energy Cost]&lt;&gt;""))))/H147-1</f>
        <v>-0.07449013333489207</v>
      </c>
      <c r="I154" s="204">
        <f>((SUMPRODUCT(--(Table4[Electric kWh usage]&lt;&gt;""),--(Table4[Year]=3),Table4[Total electric cost])+SUMPRODUCT(--(Table4[Electric kWh usage]&lt;&gt;""),--(Table4[Year]=4),Table4[Total electric cost])+SUMPRODUCT(--(Table4[Electric kWh usage]&lt;&gt;""),--(Table4[Year]=5),Table4[Total electric cost])+SUMPRODUCT(--(Table4[Electric kWh usage]&lt;&gt;""),--(Table4[Year]=6),Table4[Total electric cost])+SUMPRODUCT(--(Table4[Electric kWh usage]&lt;&gt;""),--(Table4[Year]=7),Table4[Total electric cost]))/(SUMPRODUCT(--(Table4[Total electric cost]&lt;&gt;""),--(Table4[Year]=3),Table4[Electric kWh usage])+SUMPRODUCT(--(Table4[Total electric cost]&lt;&gt;""),--(Table4[Year]=4),Table4[Electric kWh usage])+SUMPRODUCT(--(Table4[Total electric cost]&lt;&gt;""),--(Table4[Year]=5),Table4[Electric kWh usage])+SUMPRODUCT(--(Table4[Total electric cost]&lt;&gt;""),--(Table4[Year]=6),Table4[Electric kWh usage])+SUMPRODUCT(--(Table4[Total electric cost]&lt;&gt;""),--(Table4[Year]=7),Table4[Electric kWh usage])))/I147-1</f>
        <v>0.10327754062210559</v>
      </c>
      <c r="J154" s="204">
        <f>((SUMPRODUCT(--(Table4[Year]=3),--(Table4[Monthly Flow]&lt;&gt;""),Table4[Total Energy Cost])+SUMPRODUCT(--(Table4[Year]=4),--(Table4[Monthly Flow]&lt;&gt;""),Table4[Total Energy Cost])+SUMPRODUCT(--(Table4[Year]=5),--(Table4[Monthly Flow]&lt;&gt;""),Table4[Total Energy Cost])+SUMPRODUCT(--(Table4[Year]=6),--(Table4[Monthly Flow]&lt;&gt;""),Table4[Total Energy Cost])+SUMPRODUCT(--(Table4[Year]=7),--(Table4[Monthly Flow]&lt;&gt;""),Table4[Total Energy Cost]))/(SUMPRODUCT(--(Table4[Year]=3),--(Table4[Total Energy Cost]&lt;&gt;""),Table4[Monthly Flow])+SUMPRODUCT(--(Table4[Year]=4),--(Table4[Total Energy Cost]&lt;&gt;""),Table4[Monthly Flow])+SUMPRODUCT(--(Table4[Year]=5),--(Table4[Total Energy Cost]&lt;&gt;""),Table4[Monthly Flow])+SUMPRODUCT(--(Table4[Year]=6),--(Table4[Total Energy Cost]&lt;&gt;""),Table4[Monthly Flow])+SUMPRODUCT(--(Table4[Year]=7),--(Table4[Total Energy Cost]&lt;&gt;""),Table4[Monthly Flow])))/J147-1</f>
        <v>-0.05592008211750066</v>
      </c>
      <c r="K154" s="171"/>
      <c r="L154" s="205">
        <f>((SUMPRODUCT(--(Table4[Year]=3),Table4[Total Electric Demand (Actual)])+SUMPRODUCT(--(Table4[Year]=4),Table4[Total Electric Demand (Actual)])+SUMPRODUCT(--(Table4[Year]=5),Table4[Total Electric Demand (Actual)])+SUMPRODUCT(--(Table4[Year]=6),Table4[Total Electric Demand (Actual)])+SUMPRODUCT(--(Table4[Year]=7),Table4[Total Electric Demand (Actual)]))/(SUMPRODUCT(--(Table4[Year]=3),--(Table4[Total Electric Demand (Actual)]&lt;&gt;""))+SUMPRODUCT(--(Table4[Year]=4),--(Table4[Total Electric Demand (Actual)]&lt;&gt;""))+SUMPRODUCT(--(Table4[Year]=5),--(Table4[Total Electric Demand (Actual)]&lt;&gt;""))+SUMPRODUCT(--(Table4[Year]=6),--(Table4[Total Electric Demand (Actual)]&lt;&gt;""))+SUMPRODUCT(--(Table4[Year]=7),--(Table4[Total Electric Demand (Actual)]&lt;&gt;""))))/L147-1</f>
        <v>-0.2115942028985507</v>
      </c>
      <c r="M154" s="399">
        <f>((SUMPRODUCT(--(Table4[Year]=3),Table4[Total Electric Demand (Billed)])+SUMPRODUCT(--(Table4[Year]=4),Table4[Total Electric Demand (Billed)])+SUMPRODUCT(--(Table4[Year]=5),Table4[Total Electric Demand (Billed)])+SUMPRODUCT(--(Table4[Year]=6),Table4[Total Electric Demand (Billed)])+SUMPRODUCT(--(Table4[Year]=7),Table4[Total Electric Demand (Billed)]))/(SUMPRODUCT(--(Table4[Year]=3),--(Table4[Total Electric Demand (Billed)]&lt;&gt;""))+SUMPRODUCT(--(Table4[Year]=4),--(Table4[Total Electric Demand (Billed)]&lt;&gt;""))+SUMPRODUCT(--(Table4[Year]=5),--(Table4[Total Electric Demand (Billed)]&lt;&gt;""))+SUMPRODUCT(--(Table4[Year]=6),--(Table4[Total Electric Demand (Billed)]&lt;&gt;""))+SUMPRODUCT(--(Table4[Year]=7),--(Table4[Total Electric Demand (Billed)]&lt;&gt;""))))/M147-1</f>
        <v>-0.20846560846560847</v>
      </c>
      <c r="N154" s="401">
        <f t="shared" si="15"/>
        <v>-0.20846560846560847</v>
      </c>
      <c r="O154" s="172"/>
      <c r="S154"/>
      <c r="T154" s="108"/>
      <c r="V154"/>
      <c r="W154" s="114"/>
    </row>
    <row r="155" spans="2:23" ht="15" thickBot="1">
      <c r="B155" s="203"/>
      <c r="C155" s="105" t="s">
        <v>139</v>
      </c>
      <c r="D155" s="105"/>
      <c r="E155" s="105"/>
      <c r="F155" s="105"/>
      <c r="G155" s="105"/>
      <c r="H155" s="105"/>
      <c r="I155" s="105"/>
      <c r="J155" s="208"/>
      <c r="K155" s="105"/>
      <c r="L155" s="386"/>
      <c r="M155" s="386"/>
      <c r="N155" s="386"/>
      <c r="O155" s="183"/>
      <c r="S155"/>
      <c r="T155" s="108"/>
      <c r="V155"/>
      <c r="W155" s="114"/>
    </row>
    <row r="156" spans="2:14" ht="15" thickBot="1">
      <c r="B156" s="170"/>
      <c r="C156" s="171"/>
      <c r="D156" s="171"/>
      <c r="E156" s="171"/>
      <c r="F156" s="171"/>
      <c r="G156" s="171"/>
      <c r="H156" s="171"/>
      <c r="I156" s="171"/>
      <c r="J156" s="205"/>
      <c r="K156" s="171"/>
      <c r="L156" s="200"/>
      <c r="M156" s="200"/>
      <c r="N156" s="172"/>
    </row>
    <row r="157" spans="2:14" ht="15">
      <c r="B157" s="167"/>
      <c r="C157" s="191" t="s">
        <v>146</v>
      </c>
      <c r="D157" s="168"/>
      <c r="E157" s="168"/>
      <c r="F157" s="168"/>
      <c r="G157" s="168"/>
      <c r="H157" s="168"/>
      <c r="I157" s="168"/>
      <c r="J157" s="168"/>
      <c r="K157" s="168"/>
      <c r="L157" s="383"/>
      <c r="M157" s="383"/>
      <c r="N157" s="169"/>
    </row>
    <row r="158" spans="1:26" s="52" customFormat="1" ht="69" customHeight="1">
      <c r="A158" s="53"/>
      <c r="B158" s="173" t="s">
        <v>59</v>
      </c>
      <c r="C158" s="174" t="s">
        <v>104</v>
      </c>
      <c r="D158" s="174" t="s">
        <v>147</v>
      </c>
      <c r="E158" s="174" t="s">
        <v>148</v>
      </c>
      <c r="F158" s="174" t="s">
        <v>150</v>
      </c>
      <c r="G158" s="174" t="s">
        <v>53</v>
      </c>
      <c r="H158" s="174" t="s">
        <v>151</v>
      </c>
      <c r="I158" s="174" t="s">
        <v>132</v>
      </c>
      <c r="J158" s="174" t="s">
        <v>71</v>
      </c>
      <c r="K158" s="125" t="s">
        <v>135</v>
      </c>
      <c r="L158" s="290"/>
      <c r="M158" s="290"/>
      <c r="N158" s="175" t="s">
        <v>136</v>
      </c>
      <c r="P158" s="110"/>
      <c r="W158" s="110"/>
      <c r="Z158" s="117"/>
    </row>
    <row r="159" spans="1:25" s="52" customFormat="1" ht="15">
      <c r="A159" s="53"/>
      <c r="B159" s="173" t="s">
        <v>107</v>
      </c>
      <c r="C159" s="174"/>
      <c r="D159" s="174" t="s">
        <v>49</v>
      </c>
      <c r="E159" s="174" t="s">
        <v>149</v>
      </c>
      <c r="F159" s="174" t="s">
        <v>65</v>
      </c>
      <c r="G159" s="174" t="s">
        <v>53</v>
      </c>
      <c r="H159" s="174"/>
      <c r="I159" s="174"/>
      <c r="J159" s="174"/>
      <c r="K159" s="54" t="s">
        <v>65</v>
      </c>
      <c r="L159" s="384"/>
      <c r="M159" s="384"/>
      <c r="N159" s="192" t="s">
        <v>67</v>
      </c>
      <c r="P159" s="110"/>
      <c r="V159" s="110"/>
      <c r="Y159" s="117"/>
    </row>
    <row r="160" spans="1:25" s="52" customFormat="1" ht="31.5" customHeight="1">
      <c r="A160" s="53"/>
      <c r="B160" s="173" t="s">
        <v>106</v>
      </c>
      <c r="C160" s="174" t="str">
        <f>"Baseline: "&amp;TEXT(DATE(YEAR(B$4),MONTH(B$4),DAY(B$4)),"mmm yyyy")&amp;" - "&amp;TEXT(DATE(YEAR(B$27),MONTH(B$27),DAY(B$27)),"mmm yyyy")</f>
        <v>Baseline: Jul 2015 - Jun 2017</v>
      </c>
      <c r="D160" s="288">
        <f>(SUMPRODUCT(--(Table4[Year]=1),--(Table4[Total Energy Usage]&lt;&gt;""),Table4[BOD removed])+SUMPRODUCT(--(Table4[Year]=2),--(Table4[Total Energy Usage]&lt;&gt;""),Table4[BOD removed]))/(SUMPRODUCT(--(Table4[Year]=1),--(Table4[Total Energy Usage]&lt;&gt;""),--(Table4[BOD removed]&lt;&gt;""))+SUMPRODUCT(--(Table4[Year]=2),--(Table4[Total Energy Usage]&lt;&gt;""),--(Table4[BOD removed]&lt;&gt;"")))</f>
        <v>2848.9766650000006</v>
      </c>
      <c r="E160" s="290">
        <f>(SUMPRODUCT(--(Table4[Year]=1),--(Table4[Total Energy Usage]&lt;&gt;""),Table4[Total BOD removed])+SUMPRODUCT(--(Table4[Year]=2),--(Table4[Total Energy Usage]&lt;&gt;""),Table4[Total BOD removed]))</f>
        <v>2083620.70578</v>
      </c>
      <c r="F160" s="290">
        <f>(SUMPRODUCT(--(Table4[Year]=1),--(Table4[BOD removed]&lt;&gt;""),Table4[Total Energy Usage])+SUMPRODUCT(--(Table4[Year]=2),--(Table4[BOD removed]&lt;&gt;""),Table4[Total Energy Usage]))/(SUMPRODUCT(--(Table4[Year]=1),--(Table4[Total Energy Usage]&lt;&gt;""),--(Table4[BOD removed]&lt;&gt;""))+SUMPRODUCT(--(Table4[Year]=2),--(Table4[Total Energy Usage]&lt;&gt;""),--(Table4[BOD removed]&lt;&gt;"")))</f>
        <v>173165.18333333335</v>
      </c>
      <c r="G160" s="291">
        <f>SUM(G110:G111)/SUM(F110:F111)</f>
        <v>1.994587781006055</v>
      </c>
      <c r="H160" s="293">
        <f>(SUMPRODUCT(--(Table4[Year]=1),--(Table4[BOD removed]&lt;&gt;""),Table4[Total Energy Cost])+SUMPRODUCT(--(Table4[Year]=2),--(Table4[BOD removed]&lt;&gt;""),Table4[Total Energy Cost]))/(SUMPRODUCT(--(Table4[Year]=1),--(Table4[Total Energy Cost]&lt;&gt;""),--(Table4[BOD removed]&lt;&gt;""))+SUMPRODUCT(--(Table4[Year]=2),--(Table4[Total Energy Cost]&lt;&gt;""),--(Table4[BOD removed]&lt;&gt;"")))</f>
        <v>14028.161</v>
      </c>
      <c r="I160" s="294">
        <f>(SUMPRODUCT(--(Table4[Year]=1),--(Table4[Electric kWh usage]&lt;&gt;""),Table4[Total electric cost])+SUMPRODUCT(--(Table4[Year]=2),--(Table4[Electric kWh usage]&lt;&gt;""),Table4[Total electric cost]))/(SUMPRODUCT(--(Table4[Year]=1),--(Table4[Total electric cost]&lt;&gt;""),--(Table4[Electric kWh usage]&lt;&gt;""),Table4[Electric kWh usage])+SUMPRODUCT(--(Table4[Year]=2),--(Table4[Total electric cost]&lt;&gt;""),--(Table4[Electric kWh usage]&lt;&gt;""),Table4[Electric kWh usage]))</f>
        <v>0.08101028584364196</v>
      </c>
      <c r="J160" s="293">
        <f>(SUMPRODUCT(--(Table4[Year]=1),--(Table4[Total BOD removed]&lt;&gt;""),Table4[Total Energy Cost])+SUMPRODUCT(--(Table4[Year]=2),--(Table4[Total BOD removed]&lt;&gt;""),Table4[Total Energy Cost]))/(SUMPRODUCT(--(Table4[Year]=1),--(Table4[Total Energy Cost]&lt;&gt;""),Table4[Total BOD removed])+SUMPRODUCT(--(Table4[Year]=2),--(Table4[Total Energy Cost]&lt;&gt;""),Table4[Total BOD removed]))</f>
        <v>0.16158212627953605</v>
      </c>
      <c r="K160" s="125" t="s">
        <v>134</v>
      </c>
      <c r="L160" s="290"/>
      <c r="M160" s="290"/>
      <c r="N160" s="295" t="s">
        <v>134</v>
      </c>
      <c r="O160" s="165"/>
      <c r="P160" s="110"/>
      <c r="Q160" s="154"/>
      <c r="V160" s="110"/>
      <c r="Y160" s="117"/>
    </row>
    <row r="161" spans="1:25" s="52" customFormat="1" ht="15">
      <c r="A161" s="53"/>
      <c r="B161" s="173"/>
      <c r="C161" s="174"/>
      <c r="D161" s="288"/>
      <c r="E161" s="290"/>
      <c r="F161" s="290"/>
      <c r="G161" s="125"/>
      <c r="H161" s="125"/>
      <c r="I161" s="294"/>
      <c r="J161" s="293"/>
      <c r="K161" s="125"/>
      <c r="L161" s="290"/>
      <c r="M161" s="290"/>
      <c r="N161" s="295"/>
      <c r="O161" s="165"/>
      <c r="P161" s="110"/>
      <c r="V161" s="110"/>
      <c r="Y161" s="117"/>
    </row>
    <row r="162" spans="2:25" ht="15">
      <c r="B162" s="177">
        <v>3</v>
      </c>
      <c r="C162" s="171" t="str">
        <f>TEXT(DATE(YEAR(B$28),MONTH(B$28),DAY(B$28)),"mmm yyyy")&amp;" - "&amp;TEXT(DATE(YEAR(B$39),MONTH(B$39),DAY(B$39)),"mmm yyyy")</f>
        <v>Jul 2017 - Jun 2018</v>
      </c>
      <c r="D162" s="206">
        <f>SUMPRODUCT(--(Table4[Total Energy Usage]&lt;&gt;""),--(Table4[Year]=B162),Table4[BOD removed])/SUMPRODUCT(--(Table4[Total Energy Usage]&lt;&gt;""),--(Table4[BOD removed]&lt;&gt;""),--(Table4[Year]=B162))</f>
        <v>2901.34144</v>
      </c>
      <c r="E162" s="292">
        <f>SUMPRODUCT(--(Table4[Year]=B162),--(Table4[Total Energy Usage]&lt;&gt;""),Table4[Total BOD removed])</f>
        <v>1057595.50842</v>
      </c>
      <c r="F162" s="292">
        <f>_xlfn.IFERROR(SUMPRODUCT(--(Table4[Year]=B162),--(Table4[BOD removed]&lt;&gt;""),Table4[Total Energy Usage])/SUMPRODUCT(--(Table4[Year]=B162),--(Table4[BOD removed]&lt;&gt;""),--(Table4[Total Energy Usage]&lt;&gt;"")),"")</f>
        <v>153067.25</v>
      </c>
      <c r="G162" s="206">
        <f>H112</f>
        <v>1.7367764758608957</v>
      </c>
      <c r="H162" s="143">
        <f>SUMPRODUCT(--(Table4[BOD removed]&lt;&gt;""),--(Table4[Year]=B162),Table4[Total Energy Cost])/SUMPRODUCT(--(Table4[BOD removed]&lt;&gt;""),--(Table4[Year]=B162),--(Table4[Total Energy Cost]&lt;&gt;""))</f>
        <v>13353.371250000002</v>
      </c>
      <c r="I162" s="207">
        <f>SUMPRODUCT(--(Table4[Year]=B162),--(Table4[Electric kWh usage]&lt;&gt;""),Table4[Total electric cost])/SUMPRODUCT(--(Table4[Year]=B162),--(Table4[Total electric cost]&lt;&gt;""),Table4[Electric kWh usage])</f>
        <v>0.08723859120745947</v>
      </c>
      <c r="J162" s="143">
        <f>(SUMPRODUCT(--(Table4[Year]=B162),--(Table4[Total BOD removed]&lt;&gt;""),Table4[Total Energy Cost]))/(SUMPRODUCT(--(Table4[Year]=B162),--(Table4[Total Energy Cost]&lt;&gt;""),Table4[Total BOD removed]))</f>
        <v>0.1515139329963608</v>
      </c>
      <c r="K162" s="133">
        <f>(G$160-G162)*E162</f>
        <v>272660.0783414186</v>
      </c>
      <c r="L162" s="385"/>
      <c r="M162" s="385"/>
      <c r="N162" s="296">
        <f>(J$160-J162)*E162</f>
        <v>10648.075994190573</v>
      </c>
      <c r="O162" s="190"/>
      <c r="P162" s="108"/>
      <c r="S162"/>
      <c r="V162" s="108"/>
      <c r="Y162" s="114"/>
    </row>
    <row r="163" spans="2:25" ht="15">
      <c r="B163" s="177">
        <v>4</v>
      </c>
      <c r="C163" s="171" t="str">
        <f>TEXT(DATE(YEAR(B$40),MONTH(B$40),DAY(B$40)),"mmm yyyy")&amp;" - "&amp;TEXT(DATE(YEAR(B$51),MONTH(B$51),DAY(B$51)),"mmm yyyy")</f>
        <v>Jul 2018 - Jun 2019</v>
      </c>
      <c r="D163" s="206">
        <f>SUMPRODUCT(--(Table4[Total Energy Usage]&lt;&gt;""),--(Table4[Year]=B163),Table4[BOD removed])/SUMPRODUCT(--(Table4[Total Energy Usage]&lt;&gt;""),--(Table4[BOD removed]&lt;&gt;""),--(Table4[Year]=B163))</f>
        <v>3031.73178</v>
      </c>
      <c r="E163" s="292">
        <f>SUMPRODUCT(--(Table4[Year]=B163),--(Table4[Total Energy Usage]&lt;&gt;""),Table4[Total BOD removed])</f>
        <v>1110912.57798</v>
      </c>
      <c r="F163" s="292">
        <f>_xlfn.IFERROR(SUMPRODUCT(--(Table4[Year]=B163),--(Table4[BOD removed]&lt;&gt;""),Table4[Total Energy Usage])/SUMPRODUCT(--(Table4[Year]=B163),--(Table4[BOD removed]&lt;&gt;""),--(Table4[Total Energy Usage]&lt;&gt;"")),"")</f>
        <v>160175.41666666666</v>
      </c>
      <c r="G163" s="206">
        <f>H113</f>
        <v>1.7302036524737268</v>
      </c>
      <c r="H163" s="143">
        <f>SUMPRODUCT(--(Table4[BOD removed]&lt;&gt;""),--(Table4[Year]=B163),Table4[Total Energy Cost])/SUMPRODUCT(--(Table4[BOD removed]&lt;&gt;""),--(Table4[Year]=B163),--(Table4[Total Energy Cost]&lt;&gt;""))</f>
        <v>13673.568749999999</v>
      </c>
      <c r="I163" s="207">
        <f>SUMPRODUCT(--(Table4[Year]=B163),--(Table4[Electric kWh usage]&lt;&gt;""),Table4[Total electric cost])/SUMPRODUCT(--(Table4[Year]=B163),--(Table4[Total electric cost]&lt;&gt;""),Table4[Electric kWh usage])</f>
        <v>0.08536621308409269</v>
      </c>
      <c r="J163" s="143">
        <f>(SUMPRODUCT(--(Table4[Year]=B163),--(Table4[Total BOD removed]&lt;&gt;""),Table4[Total Energy Cost]))/(SUMPRODUCT(--(Table4[Year]=B163),--(Table4[Total Energy Cost]&lt;&gt;""),Table4[Total BOD removed]))</f>
        <v>0.14770093367594764</v>
      </c>
      <c r="K163" s="133">
        <f>(G$160-G163)*E163</f>
        <v>293707.65380484454</v>
      </c>
      <c r="L163" s="385"/>
      <c r="M163" s="385"/>
      <c r="N163" s="296">
        <f>(J$160-J163)*E163</f>
        <v>15420.791460689315</v>
      </c>
      <c r="O163" s="57"/>
      <c r="P163" s="108"/>
      <c r="S163"/>
      <c r="V163" s="108"/>
      <c r="Y163" s="114"/>
    </row>
    <row r="164" spans="2:25" ht="15">
      <c r="B164" s="177">
        <v>5</v>
      </c>
      <c r="C164" s="171" t="str">
        <f>TEXT(DATE(YEAR(B$52),MONTH(B$52),DAY(B$52)),"mmm yyyy")&amp;" - "&amp;TEXT(DATE(YEAR(B$63),MONTH(B$63),DAY(B$63)),"mmm yyyy")</f>
        <v>Jul 2019 - Jun 2020</v>
      </c>
      <c r="D164" s="206">
        <f>SUMPRODUCT(--(Table4[Total Energy Usage]&lt;&gt;""),--(Table4[Year]=B164),Table4[BOD removed])/SUMPRODUCT(--(Table4[Total Energy Usage]&lt;&gt;""),--(Table4[BOD removed]&lt;&gt;""),--(Table4[Year]=B164))</f>
        <v>2917.9748750000003</v>
      </c>
      <c r="E164" s="292">
        <f>SUMPRODUCT(--(Table4[Year]=B164),--(Table4[Total Energy Usage]&lt;&gt;""),Table4[Total BOD removed])</f>
        <v>1066680.6623999998</v>
      </c>
      <c r="F164" s="292">
        <f>_xlfn.IFERROR(SUMPRODUCT(--(Table4[Year]=B164),--(Table4[BOD removed]&lt;&gt;""),Table4[Total Energy Usage])/SUMPRODUCT(--(Table4[Year]=B164),--(Table4[BOD removed]&lt;&gt;""),--(Table4[Total Energy Usage]&lt;&gt;"")),"")</f>
        <v>143669.08333333334</v>
      </c>
      <c r="G164" s="206">
        <f>H114</f>
        <v>1.6162559806052788</v>
      </c>
      <c r="H164" s="143">
        <f>SUMPRODUCT(--(Table4[BOD removed]&lt;&gt;""),--(Table4[Year]=B164),Table4[Total Energy Cost])/SUMPRODUCT(--(Table4[BOD removed]&lt;&gt;""),--(Table4[Year]=B164),--(Table4[Total Energy Cost]&lt;&gt;""))</f>
        <v>12412.032083333334</v>
      </c>
      <c r="I164" s="207">
        <f>SUMPRODUCT(--(Table4[Year]=B164),--(Table4[Electric kWh usage]&lt;&gt;""),Table4[Total electric cost])/SUMPRODUCT(--(Table4[Year]=B164),--(Table4[Total electric cost]&lt;&gt;""),Table4[Electric kWh usage])</f>
        <v>0.08639320162247852</v>
      </c>
      <c r="J164" s="143">
        <f>(SUMPRODUCT(--(Table4[Year]=B164),--(Table4[Total BOD removed]&lt;&gt;""),Table4[Total Energy Cost]))/(SUMPRODUCT(--(Table4[Year]=B164),--(Table4[Total Energy Cost]&lt;&gt;""),Table4[Total BOD removed]))</f>
        <v>0.13963352880596858</v>
      </c>
      <c r="K164" s="133">
        <f>(G$160-G164)*E164</f>
        <v>403559.21545848454</v>
      </c>
      <c r="L164" s="385"/>
      <c r="M164" s="385"/>
      <c r="N164" s="296">
        <f>(J$160-J164)*E164</f>
        <v>23412.144491855917</v>
      </c>
      <c r="O164" s="57"/>
      <c r="P164" s="108"/>
      <c r="S164"/>
      <c r="V164" s="108"/>
      <c r="Y164" s="114"/>
    </row>
    <row r="165" spans="2:25" ht="15">
      <c r="B165" s="177">
        <v>6</v>
      </c>
      <c r="C165" s="171" t="str">
        <f>TEXT(DATE(YEAR(B$64),MONTH(B$64),DAY(B$64)),"mmm yyyy")&amp;" - "&amp;TEXT(DATE(YEAR(B$75),MONTH(B$75),DAY(B$75)),"mmm yyyy")</f>
        <v>Jul 2020 - Jun 2021</v>
      </c>
      <c r="D165" s="206">
        <f>SUMPRODUCT(--(Table4[Total Energy Usage]&lt;&gt;""),--(Table4[Year]=B165),Table4[BOD removed])/SUMPRODUCT(--(Table4[Total Energy Usage]&lt;&gt;""),--(Table4[BOD removed]&lt;&gt;""),--(Table4[Year]=B165))</f>
        <v>2803.47849</v>
      </c>
      <c r="E165" s="292">
        <f>SUMPRODUCT(--(Table4[Year]=B165),--(Table4[Total Energy Usage]&lt;&gt;""),Table4[Total BOD removed])</f>
        <v>1024919.2549800001</v>
      </c>
      <c r="F165" s="292">
        <f>_xlfn.IFERROR(SUMPRODUCT(--(Table4[Year]=B165),--(Table4[BOD removed]&lt;&gt;""),Table4[Total Energy Usage])/SUMPRODUCT(--(Table4[Year]=B165),--(Table4[BOD removed]&lt;&gt;""),--(Table4[Total Energy Usage]&lt;&gt;"")),"")</f>
        <v>141379.75</v>
      </c>
      <c r="G165" s="206">
        <f>H115</f>
        <v>1.655307958901705</v>
      </c>
      <c r="H165" s="143">
        <f>SUMPRODUCT(--(Table4[BOD removed]&lt;&gt;""),--(Table4[Year]=B165),Table4[Total Energy Cost])/SUMPRODUCT(--(Table4[BOD removed]&lt;&gt;""),--(Table4[Year]=B165),--(Table4[Total Energy Cost]&lt;&gt;""))</f>
        <v>12957.04125</v>
      </c>
      <c r="I165" s="207">
        <f>SUMPRODUCT(--(Table4[Year]=B165),--(Table4[Electric kWh usage]&lt;&gt;""),Table4[Total electric cost])/SUMPRODUCT(--(Table4[Year]=B165),--(Table4[Total electric cost]&lt;&gt;""),Table4[Electric kWh usage])</f>
        <v>0.09164707993895872</v>
      </c>
      <c r="J165" s="143">
        <f>(SUMPRODUCT(--(Table4[Year]=B165),--(Table4[Total BOD removed]&lt;&gt;""),Table4[Total Energy Cost]))/(SUMPRODUCT(--(Table4[Year]=B165),--(Table4[Total Energy Cost]&lt;&gt;""),Table4[Total BOD removed]))</f>
        <v>0.15170414083305916</v>
      </c>
      <c r="K165" s="133">
        <f>(G$160-G165)*E165</f>
        <v>347734.4225009374</v>
      </c>
      <c r="L165" s="385"/>
      <c r="M165" s="385"/>
      <c r="N165" s="296">
        <f>(J$160-J165)*E165</f>
        <v>10124.137484506376</v>
      </c>
      <c r="O165" s="57"/>
      <c r="P165" s="108"/>
      <c r="S165"/>
      <c r="V165" s="108"/>
      <c r="Y165" s="114"/>
    </row>
    <row r="166" spans="2:25" ht="15">
      <c r="B166" s="177">
        <v>7</v>
      </c>
      <c r="C166" s="171" t="str">
        <f>TEXT(DATE(YEAR(B$76),MONTH(B$76),DAY(B$76)),"mmm yyyy")&amp;" - "&amp;TEXT(DATE(YEAR(B$87),MONTH(B$87),DAY(B$87)),"mmm yyyy")</f>
        <v>Jul 2021 - Jun 2022</v>
      </c>
      <c r="D166" s="206">
        <f>SUMPRODUCT(--(Table4[Total Energy Usage]&lt;&gt;""),--(Table4[Year]=B166),Table4[BOD removed])/SUMPRODUCT(--(Table4[Total Energy Usage]&lt;&gt;""),--(Table4[BOD removed]&lt;&gt;""),--(Table4[Year]=B166))</f>
        <v>2841.4143700000004</v>
      </c>
      <c r="E166" s="292">
        <f>SUMPRODUCT(--(Table4[Year]=B166),--(Table4[Total Energy Usage]&lt;&gt;""),Table4[Total BOD removed])</f>
        <v>1036809.96828</v>
      </c>
      <c r="F166" s="292">
        <f>_xlfn.IFERROR(SUMPRODUCT(--(Table4[Year]=B166),--(Table4[BOD removed]&lt;&gt;""),Table4[Total Energy Usage])/SUMPRODUCT(--(Table4[Year]=B166),--(Table4[BOD removed]&lt;&gt;""),--(Table4[Total Energy Usage]&lt;&gt;"")),"")</f>
        <v>128026.58333333333</v>
      </c>
      <c r="G166" s="206">
        <f>H116</f>
        <v>1.4817749124737418</v>
      </c>
      <c r="H166" s="143">
        <f>SUMPRODUCT(--(Table4[BOD removed]&lt;&gt;""),--(Table4[Year]=B166),Table4[Total Energy Cost])/SUMPRODUCT(--(Table4[BOD removed]&lt;&gt;""),--(Table4[Year]=B166),--(Table4[Total Energy Cost]&lt;&gt;""))</f>
        <v>12519.99375</v>
      </c>
      <c r="I166" s="207">
        <f>SUMPRODUCT(--(Table4[Year]=B166),--(Table4[Electric kWh usage]&lt;&gt;""),Table4[Total electric cost])/SUMPRODUCT(--(Table4[Year]=B166),--(Table4[Total electric cost]&lt;&gt;""),Table4[Electric kWh usage])</f>
        <v>0.09779214147582631</v>
      </c>
      <c r="J166" s="143">
        <f>(SUMPRODUCT(--(Table4[Year]=B166),--(Table4[Total BOD removed]&lt;&gt;""),Table4[Total Energy Cost]))/(SUMPRODUCT(--(Table4[Year]=B166),--(Table4[Total Energy Cost]&lt;&gt;""),Table4[Total BOD removed]))</f>
        <v>0.14490594187596229</v>
      </c>
      <c r="K166" s="133">
        <f>(G$160-G166)*E166</f>
        <v>531689.4939565635</v>
      </c>
      <c r="L166" s="385"/>
      <c r="M166" s="385"/>
      <c r="N166" s="296">
        <f>(J$160-J166)*E166</f>
        <v>17290.03422250075</v>
      </c>
      <c r="O166" s="57"/>
      <c r="P166" s="108"/>
      <c r="S166"/>
      <c r="V166" s="108"/>
      <c r="Y166" s="114"/>
    </row>
    <row r="167" spans="2:14" ht="15">
      <c r="B167" s="170"/>
      <c r="C167" s="171" t="s">
        <v>140</v>
      </c>
      <c r="D167" s="204">
        <f>((SUMPRODUCT(--(Table4[Total Energy Usage]&lt;&gt;""),--(Table4[Year]=3),Table4[BOD removed])+SUMPRODUCT(--(Table4[Total Energy Usage]&lt;&gt;""),--(Table4[Year]=4),Table4[BOD removed])+SUMPRODUCT(--(Table4[Total Energy Usage]&lt;&gt;""),--(Table4[Year]=5),Table4[BOD removed])+SUMPRODUCT(--(Table4[Total Energy Usage]&lt;&gt;""),--(Table4[Year]=6),Table4[BOD removed])+SUMPRODUCT(--(Table4[Total Energy Usage]&lt;&gt;""),--(Table4[Year]=7),Table4[BOD removed]))/(SUMPRODUCT(--(Table4[Total Energy Usage]&lt;&gt;""),--(Table4[BOD removed]&lt;&gt;""),--(Table4[Year]=3))+SUMPRODUCT(--(Table4[Total Energy Usage]&lt;&gt;""),--(Table4[BOD removed]&lt;&gt;""),--(Table4[Year]=4))+SUMPRODUCT(--(Table4[Total Energy Usage]&lt;&gt;""),--(Table4[BOD removed]&lt;&gt;""),--(Table4[Year]=5))+SUMPRODUCT(--(Table4[Total Energy Usage]&lt;&gt;""),--(Table4[BOD removed]&lt;&gt;""),--(Table4[Year]=6))+SUMPRODUCT(--(Table4[Total Energy Usage]&lt;&gt;""),--(Table4[BOD removed]&lt;&gt;""),--(Table4[Year]=7))))/D160-1</f>
        <v>0.01762440760461592</v>
      </c>
      <c r="E167" s="132"/>
      <c r="F167" s="204">
        <f>(((SUMPRODUCT(--(Table4[Year]=3),--(Table4[BOD removed]&lt;&gt;""),Table4[Total Energy Usage])+SUMPRODUCT(--(Table4[Year]=4),--(Table4[BOD removed]&lt;&gt;""),Table4[Total Energy Usage])+SUMPRODUCT(--(Table4[Year]=5),--(Table4[BOD removed]&lt;&gt;""),Table4[Total Energy Usage])+SUMPRODUCT(--(Table4[Year]=6),--(Table4[BOD removed]&lt;&gt;""),Table4[Total Energy Usage])+SUMPRODUCT(--(Table4[Year]=7),--(Table4[BOD removed]&lt;&gt;""),Table4[Total Energy Usage]))/(SUMPRODUCT(--(Table4[Year]=3),--(Table4[Total Energy Usage]&lt;&gt;""),--(Table4[BOD removed]&lt;&gt;""))+SUMPRODUCT(--(Table4[Year]=4),--(Table4[Total Energy Usage]&lt;&gt;""),--(Table4[BOD removed]&lt;&gt;""))+SUMPRODUCT(--(Table4[Year]=5),--(Table4[Total Energy Usage]&lt;&gt;""),--(Table4[BOD removed]&lt;&gt;""))+SUMPRODUCT(--(Table4[Year]=6),--(Table4[Total Energy Usage]&lt;&gt;""),--(Table4[BOD removed]&lt;&gt;""))+SUMPRODUCT(--(Table4[Year]=7),--(Table4[Total Energy Usage]&lt;&gt;""),--(Table4[BOD removed]&lt;&gt;""))))/F160)-1</f>
        <v>-0.1611268854949769</v>
      </c>
      <c r="G167" s="204">
        <f>((SUMPRODUCT(--(Table4[BOD removed]&lt;&gt;""),--(Table4[Year]=3),Table4[Total Energy Usage])+SUMPRODUCT(--(Table4[Total BOD removed]&lt;&gt;""),--(Table4[Year]=4),Table4[Total Energy Usage])+SUMPRODUCT(--(Table4[Total BOD removed]&lt;&gt;""),--(Table4[Year]=5),Table4[Total Energy Usage])+SUMPRODUCT(--(Table4[Total BOD removed]&lt;&gt;""),--(Table4[Year]=6),Table4[Total Energy Usage])+SUMPRODUCT(--(Table4[Total BOD removed]&lt;&gt;""),--(Table4[Year]=7),Table4[Total Energy Usage]))/(SUMPRODUCT(--(Table4[Total Energy Usage]&lt;&gt;""),--(Table4[Year]=3),Table4[Total BOD removed])+SUMPRODUCT(--(Table4[Total Energy Usage]&lt;&gt;""),--(Table4[Year]=4),Table4[Total BOD removed])+SUMPRODUCT(--(Table4[Total Energy Usage]&lt;&gt;""),--(Table4[Year]=5),Table4[Total BOD removed])+SUMPRODUCT(--(Table4[Total Energy Usage]&lt;&gt;""),--(Table4[Year]=6),Table4[Total BOD removed])+SUMPRODUCT(--(Table4[Total Energy Usage]&lt;&gt;""),--(Table4[Year]=7),Table4[Total BOD removed])))/G160-1</f>
        <v>-0.17504226036510728</v>
      </c>
      <c r="H167" s="204">
        <f>((SUMPRODUCT(--(Table4[BOD removed]&lt;&gt;""),--(Table4[Year]=3),Table4[Total Energy Cost])+SUMPRODUCT(--(Table4[BOD removed]&lt;&gt;""),--(Table4[Year]=4),Table4[Total Energy Cost])+SUMPRODUCT(--(Table4[BOD removed]&lt;&gt;""),--(Table4[Year]=5),Table4[Total Energy Cost])+SUMPRODUCT(--(Table4[BOD removed]&lt;&gt;""),--(Table4[Year]=6),Table4[Total Energy Cost])+SUMPRODUCT(--(Table4[BOD removed]&lt;&gt;""),--(Table4[Year]=7),Table4[Total Energy Cost]))/(SUMPRODUCT(--(Table4[BOD removed]&lt;&gt;""),--(Table4[Year]=3),--(Table4[Total Energy Cost]&lt;&gt;""))+SUMPRODUCT(--(Table4[BOD removed]&lt;&gt;""),--(Table4[Year]=4),--(Table4[Total Energy Cost]&lt;&gt;""))+SUMPRODUCT(--(Table4[BOD removed]&lt;&gt;""),--(Table4[Year]=5),--(Table4[Total Energy Cost]&lt;&gt;""))+SUMPRODUCT(--(Table4[BOD removed]&lt;&gt;""),--(Table4[Year]=6),--(Table4[Total Energy Cost]&lt;&gt;""))+SUMPRODUCT(--(Table4[BOD removed]&lt;&gt;""),--(Table4[Year]=7),--(Table4[Total Energy Cost]&lt;&gt;""))))/H160-1</f>
        <v>-0.07449013333489207</v>
      </c>
      <c r="I167" s="204">
        <f>((SUMPRODUCT(--(Table4[Electric kWh usage]&lt;&gt;""),--(Table4[Year]=3),Table4[Total electric cost])+SUMPRODUCT(--(Table4[Electric kWh usage]&lt;&gt;""),--(Table4[Year]=4),Table4[Total electric cost])+SUMPRODUCT(--(Table4[Electric kWh usage]&lt;&gt;""),--(Table4[Year]=5),Table4[Total electric cost])+SUMPRODUCT(--(Table4[Electric kWh usage]&lt;&gt;""),--(Table4[Year]=6),Table4[Total electric cost])+SUMPRODUCT(--(Table4[Electric kWh usage]&lt;&gt;""),--(Table4[Year]=7),Table4[Total electric cost]))/(SUMPRODUCT(--(Table4[Total electric cost]&lt;&gt;""),--(Table4[Year]=3),Table4[Electric kWh usage])+SUMPRODUCT(--(Table4[Total electric cost]&lt;&gt;""),--(Table4[Year]=4),Table4[Electric kWh usage])+SUMPRODUCT(--(Table4[Total electric cost]&lt;&gt;""),--(Table4[Year]=5),Table4[Electric kWh usage])+SUMPRODUCT(--(Table4[Total electric cost]&lt;&gt;""),--(Table4[Year]=6),Table4[Electric kWh usage])+SUMPRODUCT(--(Table4[Total electric cost]&lt;&gt;""),--(Table4[Year]=7),Table4[Electric kWh usage])))/I160-1</f>
        <v>0.10327754062210559</v>
      </c>
      <c r="J167" s="204">
        <f>((SUMPRODUCT(--(Table4[Year]=3),--(Table4[Total BOD removed]&lt;&gt;""),Table4[Total Energy Cost])+SUMPRODUCT(--(Table4[Year]=4),--(Table4[Total BOD removed]&lt;&gt;""),Table4[Total Energy Cost])+SUMPRODUCT(--(Table4[Year]=5),--(Table4[Total BOD removed]&lt;&gt;""),Table4[Total Energy Cost])+SUMPRODUCT(--(Table4[Year]=6),--(Table4[Total BOD removed]&lt;&gt;""),Table4[Total Energy Cost])+SUMPRODUCT(--(Table4[Year]=7),--(Table4[Total BOD removed]&lt;&gt;""),Table4[Total Energy Cost]))/(SUMPRODUCT(--(Table4[Year]=3),--(Table4[Total Energy Cost]&lt;&gt;""),Table4[Total BOD removed])+SUMPRODUCT(--(Table4[Year]=4),--(Table4[Total Energy Cost]&lt;&gt;""),Table4[Total BOD removed])+SUMPRODUCT(--(Table4[Year]=5),--(Table4[Total Energy Cost]&lt;&gt;""),Table4[Total BOD removed])+SUMPRODUCT(--(Table4[Year]=6),--(Table4[Total Energy Cost]&lt;&gt;""),Table4[Total BOD removed])+SUMPRODUCT(--(Table4[Year]=7),--(Table4[Total Energy Cost]&lt;&gt;""),Table4[Total BOD removed])))/J160-1</f>
        <v>-0.08984265389844415</v>
      </c>
      <c r="K167" s="132"/>
      <c r="L167" s="292"/>
      <c r="M167" s="292"/>
      <c r="N167" s="136"/>
    </row>
    <row r="168" spans="2:14" ht="15" thickBot="1">
      <c r="B168" s="203"/>
      <c r="C168" s="105" t="s">
        <v>139</v>
      </c>
      <c r="D168" s="289"/>
      <c r="E168" s="289"/>
      <c r="F168" s="289"/>
      <c r="G168" s="289"/>
      <c r="H168" s="289"/>
      <c r="I168" s="289"/>
      <c r="J168" s="297"/>
      <c r="K168" s="289"/>
      <c r="L168" s="387"/>
      <c r="M168" s="387"/>
      <c r="N168" s="298"/>
    </row>
    <row r="169" ht="15">
      <c r="B169" s="56"/>
    </row>
    <row r="170" ht="15" thickBot="1">
      <c r="B170" s="56"/>
    </row>
    <row r="171" spans="2:7" ht="15">
      <c r="B171" s="167"/>
      <c r="C171" s="191" t="s">
        <v>116</v>
      </c>
      <c r="D171" s="168"/>
      <c r="E171" s="168"/>
      <c r="F171" s="168"/>
      <c r="G171" s="169"/>
    </row>
    <row r="172" spans="2:7" ht="15">
      <c r="B172" s="170"/>
      <c r="C172" s="171"/>
      <c r="D172" s="171"/>
      <c r="E172" s="171"/>
      <c r="F172" s="171"/>
      <c r="G172" s="172"/>
    </row>
    <row r="173" spans="2:22" ht="15">
      <c r="B173" s="173" t="s">
        <v>59</v>
      </c>
      <c r="C173" s="174" t="s">
        <v>59</v>
      </c>
      <c r="D173" s="174" t="s">
        <v>51</v>
      </c>
      <c r="E173" s="174" t="s">
        <v>118</v>
      </c>
      <c r="F173" s="174" t="s">
        <v>70</v>
      </c>
      <c r="G173" s="175" t="s">
        <v>119</v>
      </c>
      <c r="I173" s="108"/>
      <c r="K173" s="108"/>
      <c r="L173" s="388"/>
      <c r="M173" s="388"/>
      <c r="R173" s="108"/>
      <c r="S173"/>
      <c r="U173" s="114"/>
      <c r="V173"/>
    </row>
    <row r="174" spans="2:22" ht="15">
      <c r="B174" s="173"/>
      <c r="C174" s="174"/>
      <c r="D174" s="174"/>
      <c r="E174" s="174"/>
      <c r="F174" s="174"/>
      <c r="G174" s="172"/>
      <c r="I174" s="108"/>
      <c r="K174" s="108"/>
      <c r="L174" s="388"/>
      <c r="M174" s="388"/>
      <c r="R174" s="108"/>
      <c r="S174"/>
      <c r="U174" s="114"/>
      <c r="V174"/>
    </row>
    <row r="175" spans="2:22" ht="15">
      <c r="B175" s="173" t="s">
        <v>123</v>
      </c>
      <c r="C175" s="174" t="str">
        <f>TEXT(DATE(YEAR(B$4),MONTH(B$4),DAY(B$4)),"mmm yyyy")&amp;" - "&amp;TEXT(DATE(YEAR(B$15),MONTH(B$15),DAY(B$15)),"mmm yyyy")</f>
        <v>Jul 2015 - Jun 2016</v>
      </c>
      <c r="D175" s="178">
        <f aca="true" t="shared" si="16" ref="D175:D181">H98</f>
        <v>2927.285532554643</v>
      </c>
      <c r="E175" s="171">
        <v>0</v>
      </c>
      <c r="F175" s="179">
        <f aca="true" t="shared" si="17" ref="F175:F181">H121</f>
        <v>234.18633977101877</v>
      </c>
      <c r="G175" s="172">
        <v>0</v>
      </c>
      <c r="I175" s="108"/>
      <c r="K175" s="108"/>
      <c r="L175" s="388"/>
      <c r="M175" s="388"/>
      <c r="R175" s="108"/>
      <c r="S175"/>
      <c r="U175" s="114"/>
      <c r="V175"/>
    </row>
    <row r="176" spans="2:22" ht="15">
      <c r="B176" s="173" t="s">
        <v>124</v>
      </c>
      <c r="C176" s="174" t="str">
        <f>TEXT(DATE(YEAR(B$16),MONTH(B$16),DAY(B$16)),"mmm yyyy")&amp;" - "&amp;TEXT(DATE(YEAR(B$27),MONTH(B$27),DAY(B$27)),"mmm yyyy")</f>
        <v>Jul 2016 - Jun 2017</v>
      </c>
      <c r="D176" s="178">
        <f t="shared" si="16"/>
        <v>2716.0149885291876</v>
      </c>
      <c r="E176" s="171">
        <v>0</v>
      </c>
      <c r="F176" s="179">
        <f t="shared" si="17"/>
        <v>222.6295202651033</v>
      </c>
      <c r="G176" s="172">
        <v>0</v>
      </c>
      <c r="I176" s="108"/>
      <c r="K176" s="108"/>
      <c r="L176" s="388"/>
      <c r="M176" s="388"/>
      <c r="R176" s="108"/>
      <c r="S176"/>
      <c r="U176" s="114"/>
      <c r="V176"/>
    </row>
    <row r="177" spans="2:22" ht="15">
      <c r="B177" s="177">
        <v>3</v>
      </c>
      <c r="C177" s="171" t="str">
        <f>TEXT(DATE(YEAR(B$28),MONTH(B$28),DAY(B$28)),"mmm yyyy")&amp;" - "&amp;TEXT(DATE(YEAR(B$39),MONTH(B$39),DAY(B$39)),"mmm yyyy")</f>
        <v>Jul 2017 - Jun 2018</v>
      </c>
      <c r="D177" s="178">
        <f t="shared" si="16"/>
        <v>2532.96789674003</v>
      </c>
      <c r="E177" s="171">
        <v>0</v>
      </c>
      <c r="F177" s="179">
        <f t="shared" si="17"/>
        <v>220.97255088532188</v>
      </c>
      <c r="G177" s="172">
        <v>0</v>
      </c>
      <c r="I177" s="108"/>
      <c r="K177" s="108"/>
      <c r="L177" s="388"/>
      <c r="M177" s="388"/>
      <c r="R177" s="108"/>
      <c r="S177"/>
      <c r="U177" s="114"/>
      <c r="V177"/>
    </row>
    <row r="178" spans="2:22" ht="15">
      <c r="B178" s="177">
        <v>4</v>
      </c>
      <c r="C178" s="171" t="str">
        <f>TEXT(DATE(YEAR(B$40),MONTH(B$40),DAY(B$40)),"mmm yyyy")&amp;" - "&amp;TEXT(DATE(YEAR(B$51),MONTH(B$51),DAY(B$51)),"mmm yyyy")</f>
        <v>Jul 2018 - Jun 2019</v>
      </c>
      <c r="D178" s="178">
        <f t="shared" si="16"/>
        <v>2579.729693455736</v>
      </c>
      <c r="E178" s="171">
        <v>0</v>
      </c>
      <c r="F178" s="179">
        <f t="shared" si="17"/>
        <v>220.2217547109035</v>
      </c>
      <c r="G178" s="172">
        <v>0</v>
      </c>
      <c r="I178" s="108"/>
      <c r="K178" s="108"/>
      <c r="L178" s="388"/>
      <c r="M178" s="388"/>
      <c r="R178" s="108"/>
      <c r="S178"/>
      <c r="U178" s="114"/>
      <c r="V178"/>
    </row>
    <row r="179" spans="2:22" ht="15">
      <c r="B179" s="177">
        <v>5</v>
      </c>
      <c r="C179" s="171" t="str">
        <f>TEXT(DATE(YEAR(B$52),MONTH(B$52),DAY(B$52)),"mmm yyyy")&amp;" - "&amp;TEXT(DATE(YEAR(B$63),MONTH(B$63),DAY(B$63)),"mmm yyyy")</f>
        <v>Jul 2019 - Jun 2020</v>
      </c>
      <c r="D179" s="178">
        <f t="shared" si="16"/>
        <v>2324.6797551306604</v>
      </c>
      <c r="E179" s="171">
        <v>0</v>
      </c>
      <c r="F179" s="179">
        <f t="shared" si="17"/>
        <v>200.8365267926971</v>
      </c>
      <c r="G179" s="172">
        <v>0</v>
      </c>
      <c r="I179" s="108"/>
      <c r="K179" s="108"/>
      <c r="L179" s="388"/>
      <c r="M179" s="388"/>
      <c r="R179" s="108"/>
      <c r="S179"/>
      <c r="U179" s="114"/>
      <c r="V179"/>
    </row>
    <row r="180" spans="2:22" ht="15">
      <c r="B180" s="177">
        <v>6</v>
      </c>
      <c r="C180" s="171" t="str">
        <f>TEXT(DATE(YEAR(B$64),MONTH(B$64),DAY(B$64)),"mmm yyyy")&amp;" - "&amp;TEXT(DATE(YEAR(B$75),MONTH(B$75),DAY(B$75)),"mmm yyyy")</f>
        <v>Jul 2020 - Jun 2021</v>
      </c>
      <c r="D180" s="178">
        <f t="shared" si="16"/>
        <v>2333.769395840211</v>
      </c>
      <c r="E180" s="171">
        <v>0</v>
      </c>
      <c r="F180" s="179">
        <f t="shared" si="17"/>
        <v>213.88315037966325</v>
      </c>
      <c r="G180" s="172">
        <v>0</v>
      </c>
      <c r="I180" s="108"/>
      <c r="K180" s="108"/>
      <c r="L180" s="388"/>
      <c r="M180" s="388"/>
      <c r="R180" s="108"/>
      <c r="S180"/>
      <c r="U180" s="114"/>
      <c r="V180"/>
    </row>
    <row r="181" spans="2:22" ht="15" thickBot="1">
      <c r="B181" s="180">
        <v>7</v>
      </c>
      <c r="C181" s="105" t="str">
        <f>TEXT(DATE(YEAR(B$76),MONTH(B$76),DAY(B$76)),"mmm yyyy")&amp;" - "&amp;TEXT(DATE(YEAR(B$87),MONTH(B$87),DAY(B$87)),"mmm yyyy")</f>
        <v>Jul 2021 - Jun 2022</v>
      </c>
      <c r="D181" s="181">
        <f t="shared" si="16"/>
        <v>2261.021663625125</v>
      </c>
      <c r="E181" s="105">
        <v>0</v>
      </c>
      <c r="F181" s="182">
        <f t="shared" si="17"/>
        <v>221.11015040913634</v>
      </c>
      <c r="G181" s="183">
        <v>0</v>
      </c>
      <c r="I181" s="108"/>
      <c r="K181" s="108"/>
      <c r="L181" s="388"/>
      <c r="M181" s="388"/>
      <c r="R181" s="108"/>
      <c r="S181"/>
      <c r="U181" s="114"/>
      <c r="V181"/>
    </row>
    <row r="182" spans="8:22" ht="15">
      <c r="H182" s="108"/>
      <c r="J182" s="108"/>
      <c r="Q182" s="108"/>
      <c r="S182"/>
      <c r="T182" s="114"/>
      <c r="V182"/>
    </row>
    <row r="183" spans="8:22" ht="15" thickBot="1">
      <c r="H183" s="108"/>
      <c r="J183" s="108"/>
      <c r="Q183" s="108"/>
      <c r="S183"/>
      <c r="T183" s="114"/>
      <c r="V183"/>
    </row>
    <row r="184" spans="2:22" ht="15">
      <c r="B184" s="184"/>
      <c r="C184" s="191" t="s">
        <v>117</v>
      </c>
      <c r="D184" s="168"/>
      <c r="E184" s="168"/>
      <c r="F184" s="168"/>
      <c r="G184" s="169"/>
      <c r="H184" s="108"/>
      <c r="J184" s="108"/>
      <c r="Q184" s="108"/>
      <c r="S184"/>
      <c r="T184" s="114"/>
      <c r="V184"/>
    </row>
    <row r="185" spans="2:7" ht="21.75" customHeight="1">
      <c r="B185" s="173" t="s">
        <v>59</v>
      </c>
      <c r="C185" s="174"/>
      <c r="D185" s="174" t="s">
        <v>53</v>
      </c>
      <c r="E185" s="171" t="s">
        <v>120</v>
      </c>
      <c r="F185" s="174" t="s">
        <v>71</v>
      </c>
      <c r="G185" s="172" t="s">
        <v>120</v>
      </c>
    </row>
    <row r="186" spans="2:7" ht="15" thickBot="1">
      <c r="B186" s="173" t="s">
        <v>123</v>
      </c>
      <c r="C186" s="174" t="str">
        <f>TEXT(DATE(YEAR(B$4),MONTH(B$4),DAY(B$4)),"mmm yyyy")&amp;" - "&amp;TEXT(DATE(YEAR(B$15),MONTH(B$15),DAY(B$15)),"mmm yyyy")</f>
        <v>Jul 2015 - Jun 2016</v>
      </c>
      <c r="D186" s="176">
        <f>(SUMPRODUCT(--(Table4[Year]=1),--(Table4[Total BOD removed]&lt;&gt;""),Table4[Total Energy Usage])+SUMPRODUCT(--(Table4[Year]=2),--(Table4[Total BOD removed]&lt;&gt;""),Table4[Total Energy Usage]))/(SUMPRODUCT(--(Table4[Year]=1),Table4[Total BOD removed],--(Table4[Total Energy Usage]&lt;&gt;""))+SUMPRODUCT(--(Table4[Year]=2),Table4[Total BOD removed],--(Table4[Total Energy Usage]&lt;&gt;"")))</f>
        <v>1.994587781006055</v>
      </c>
      <c r="E186" s="171">
        <v>0</v>
      </c>
      <c r="F186" s="185">
        <f>(SUMPRODUCT(--(Table4[Year]=1),--(Table4[Total BOD removed]&lt;&gt;""),Table4[Total Energy Cost])+SUMPRODUCT(--(Table4[Year]=2),--(Table4[Total BOD removed]&lt;&gt;""),Table4[Total Energy Cost]))/(SUMPRODUCT(--(Table4[Year]=1),--(Table4[Total Energy Cost]&lt;&gt;""),Table4[Total BOD removed])+SUMPRODUCT(--(Table4[Year]=2),--(Table4[Total Energy Cost]&lt;&gt;""),Table4[Total BOD removed]))</f>
        <v>0.16158212627953605</v>
      </c>
      <c r="G186" s="172">
        <v>0</v>
      </c>
    </row>
    <row r="187" spans="2:8" ht="15">
      <c r="B187" s="173" t="s">
        <v>124</v>
      </c>
      <c r="C187" s="174" t="str">
        <f>TEXT(DATE(YEAR(B$16),MONTH(B$16),DAY(B$16)),"mmm yyyy")&amp;" - "&amp;TEXT(DATE(YEAR(B$27),MONTH(B$27),DAY(B$27)),"mmm yyyy")</f>
        <v>Jul 2016 - Jun 2017</v>
      </c>
      <c r="D187" s="186">
        <f aca="true" t="shared" si="18" ref="D187:D192">H111</f>
        <v>1.8378833935271166</v>
      </c>
      <c r="E187" s="171">
        <v>0</v>
      </c>
      <c r="F187" s="188">
        <f aca="true" t="shared" si="19" ref="F187:F192">H136</f>
        <v>0.15064979388266175</v>
      </c>
      <c r="G187" s="172">
        <v>0</v>
      </c>
      <c r="H187" s="319" t="s">
        <v>172</v>
      </c>
    </row>
    <row r="188" spans="2:8" ht="15">
      <c r="B188" s="177">
        <v>3</v>
      </c>
      <c r="C188" s="171" t="str">
        <f>TEXT(DATE(YEAR(B$28),MONTH(B$28),DAY(B$28)),"mmm yyyy")&amp;" - "&amp;TEXT(DATE(YEAR(B$39),MONTH(B$39),DAY(B$39)),"mmm yyyy")</f>
        <v>Jul 2017 - Jun 2018</v>
      </c>
      <c r="D188" s="186">
        <f t="shared" si="18"/>
        <v>1.7367764758608957</v>
      </c>
      <c r="E188" s="171">
        <v>0</v>
      </c>
      <c r="F188" s="188">
        <f t="shared" si="19"/>
        <v>0.1515139329963608</v>
      </c>
      <c r="G188" s="172">
        <v>0</v>
      </c>
      <c r="H188" s="320" t="str">
        <f ca="1">IF(AND(TODAY()&gt;=B28,TODAY()&lt;=B39),CHAR(10)&amp;"(to date)","")</f>
        <v/>
      </c>
    </row>
    <row r="189" spans="2:8" ht="15">
      <c r="B189" s="177">
        <v>4</v>
      </c>
      <c r="C189" s="171" t="str">
        <f>TEXT(DATE(YEAR(B$40),MONTH(B$40),DAY(B$40)),"mmm yyyy")&amp;" - "&amp;TEXT(DATE(YEAR(B$51),MONTH(B$51),DAY(B$51)),"mmm yyyy")</f>
        <v>Jul 2018 - Jun 2019</v>
      </c>
      <c r="D189" s="186">
        <f t="shared" si="18"/>
        <v>1.7302036524737268</v>
      </c>
      <c r="E189" s="171">
        <v>0</v>
      </c>
      <c r="F189" s="188">
        <f t="shared" si="19"/>
        <v>0.14770093367594764</v>
      </c>
      <c r="G189" s="172">
        <v>0</v>
      </c>
      <c r="H189" s="320" t="str">
        <f ca="1">IF(AND(TODAY()&gt;=B40,TODAY()&lt;=B51),CHAR(10)&amp;"(to date)","")</f>
        <v/>
      </c>
    </row>
    <row r="190" spans="2:8" ht="15">
      <c r="B190" s="177">
        <v>5</v>
      </c>
      <c r="C190" s="171" t="str">
        <f>TEXT(DATE(YEAR(B$52),MONTH(B$52),DAY(B$52)),"mmm yyyy")&amp;" - "&amp;TEXT(DATE(YEAR(B$63),MONTH(B$63),DAY(B$63)),"mmm yyyy")</f>
        <v>Jul 2019 - Jun 2020</v>
      </c>
      <c r="D190" s="186">
        <f t="shared" si="18"/>
        <v>1.6162559806052788</v>
      </c>
      <c r="E190" s="132">
        <v>0</v>
      </c>
      <c r="F190" s="188">
        <f t="shared" si="19"/>
        <v>0.13963352880596858</v>
      </c>
      <c r="G190" s="172">
        <v>0</v>
      </c>
      <c r="H190" s="320" t="str">
        <f ca="1">IF(AND(TODAY()&gt;=B52,TODAY()&lt;=B63),CHAR(10)&amp;"(to date)","")</f>
        <v/>
      </c>
    </row>
    <row r="191" spans="2:8" ht="15">
      <c r="B191" s="177">
        <v>6</v>
      </c>
      <c r="C191" s="171" t="str">
        <f>TEXT(DATE(YEAR(B$64),MONTH(B$64),DAY(B$64)),"mmm yyyy")&amp;" - "&amp;TEXT(DATE(YEAR(B$75),MONTH(B$75),DAY(B$75)),"mmm yyyy")</f>
        <v>Jul 2020 - Jun 2021</v>
      </c>
      <c r="D191" s="186">
        <f t="shared" si="18"/>
        <v>1.655307958901705</v>
      </c>
      <c r="E191" s="132">
        <v>0</v>
      </c>
      <c r="F191" s="188">
        <f t="shared" si="19"/>
        <v>0.15170414083305916</v>
      </c>
      <c r="G191" s="172">
        <v>0</v>
      </c>
      <c r="H191" s="320" t="str">
        <f ca="1">IF(AND(TODAY()&gt;=B64,TODAY()&lt;=B75),CHAR(10)&amp;"(to date)","")</f>
        <v xml:space="preserve">
(to date)</v>
      </c>
    </row>
    <row r="192" spans="2:8" ht="15">
      <c r="B192" s="177">
        <v>7</v>
      </c>
      <c r="C192" s="171" t="str">
        <f>TEXT(DATE(YEAR(B$76),MONTH(B$76),DAY(B$76)),"mmm yyyy")&amp;" - "&amp;TEXT(DATE(YEAR(B$87),MONTH(B$87),DAY(B$87)),"mmm yyyy")</f>
        <v>Jul 2021 - Jun 2022</v>
      </c>
      <c r="D192" s="186">
        <f t="shared" si="18"/>
        <v>1.4817749124737418</v>
      </c>
      <c r="E192" s="132">
        <v>0</v>
      </c>
      <c r="F192" s="188">
        <f t="shared" si="19"/>
        <v>0.14490594187596229</v>
      </c>
      <c r="G192" s="172">
        <v>0</v>
      </c>
      <c r="H192" s="320" t="str">
        <f ca="1">IF(AND(TODAY()&gt;=B76,TODAY()&lt;=B87),CHAR(10)&amp;"(to date)","")</f>
        <v/>
      </c>
    </row>
    <row r="193" spans="2:8" ht="15" thickBot="1">
      <c r="B193" s="187"/>
      <c r="C193" s="105"/>
      <c r="D193" s="105"/>
      <c r="E193" s="105"/>
      <c r="F193" s="105"/>
      <c r="G193" s="183"/>
      <c r="H193" s="321"/>
    </row>
    <row r="195" ht="15" thickBot="1">
      <c r="B195" t="s">
        <v>161</v>
      </c>
    </row>
    <row r="196" spans="2:18" ht="51" customHeight="1">
      <c r="B196" s="184"/>
      <c r="C196" s="168"/>
      <c r="D196" s="481" t="s">
        <v>162</v>
      </c>
      <c r="E196" s="168" t="s">
        <v>166</v>
      </c>
      <c r="F196" s="168" t="s">
        <v>167</v>
      </c>
      <c r="G196" s="482" t="str">
        <f>IF((SUMPRODUCT(--(Table4[Year]=1),--(Table4[Avg effluent NH3]&lt;&gt;""))+SUMPRODUCT(--(Table4[Year]=2),--(Table4[Avg effluent NH3]&lt;&gt;"")))&lt;=(SUMPRODUCT(--(Table4[Year]=1),--(Table4[Avg effluent TKN]&lt;&gt;""))+SUMPRODUCT(--(Table4[Year]=2),--(Table4[Avg effluent TKN]&lt;&gt;""))),"Avg Effluent TKN (mg/L)","Avg Effluent NH3 (mg/L)")</f>
        <v>Avg Effluent TKN (mg/L)</v>
      </c>
      <c r="H196" s="481" t="s">
        <v>163</v>
      </c>
      <c r="I196" s="481" t="s">
        <v>168</v>
      </c>
      <c r="J196" s="481" t="s">
        <v>173</v>
      </c>
      <c r="K196" s="483" t="s">
        <v>184</v>
      </c>
      <c r="L196" s="484" t="s">
        <v>197</v>
      </c>
      <c r="M196" s="484"/>
      <c r="N196" s="481" t="s">
        <v>164</v>
      </c>
      <c r="O196" s="481" t="s">
        <v>165</v>
      </c>
      <c r="P196" s="481" t="s">
        <v>122</v>
      </c>
      <c r="Q196" s="485" t="s">
        <v>185</v>
      </c>
      <c r="R196" s="486" t="s">
        <v>198</v>
      </c>
    </row>
    <row r="197" spans="2:18" ht="29">
      <c r="B197" s="487" t="s">
        <v>106</v>
      </c>
      <c r="C197" s="174" t="str">
        <f>"Baseline: "&amp;TEXT(DATE(YEAR(B$4),MONTH(B$4),DAY(B$4)),"mmm yyyy")&amp;" - "&amp;TEXT(DATE(YEAR(B$27),MONTH(B$27),DAY(B$27)),"mmm yyyy")</f>
        <v>Baseline: Jul 2015 - Jun 2017</v>
      </c>
      <c r="D197" s="199">
        <f>(SUMPRODUCT(--(Table4[Year]=1),Table4[Avg influent TKN])+SUMPRODUCT(--(Table4[Year]=2),Table4[Avg influent TKN]))/(SUMPRODUCT(--(Table4[Year]=1),--(Table4[Avg influent TKN]&lt;&gt;""))+SUMPRODUCT(--(Table4[Year]=2),--(Table4[Avg influent TKN]&lt;&gt;"")))+(SUMPRODUCT(--(Table4[Year]=1),Table4[Avg influent NOx])+SUMPRODUCT(--(Table4[Year]=2),Table4[Avg influent NOx]))/(SUMPRODUCT(--(Table4[Year]=1),--(Table4[Avg influent NOx]&lt;&gt;""))+SUMPRODUCT(--(Table4[Year]=2),--(Table4[Avg influent NOx]&lt;&gt;"")))</f>
        <v>34.25</v>
      </c>
      <c r="E197" s="199">
        <f>(SUMPRODUCT(--(Table4[Year]=1),Table4[Avg effluent NH3])+SUMPRODUCT(--(Table4[Year]=2),Table4[Avg effluent NH3]))/(SUMPRODUCT(--(Table4[Year]=1),--(Table4[Avg effluent NH3]&lt;&gt;""))+SUMPRODUCT(--(Table4[Year]=2),--(Table4[Avg effluent NH3]&lt;&gt;"")))</f>
        <v>1.2249999999999999</v>
      </c>
      <c r="F197" s="199">
        <f>(SUMPRODUCT(--(Table4[Year]=1),Table4[Avg effluent TKN])+SUMPRODUCT(--(Table4[Year]=2),Table4[Avg effluent TKN]))/(SUMPRODUCT(--(Table4[Year]=1),--(Table4[Avg effluent TKN]&lt;&gt;""))+SUMPRODUCT(--(Table4[Year]=2),--(Table4[Avg effluent TKN]&lt;&gt;"")))</f>
        <v>2.975</v>
      </c>
      <c r="G197" s="199">
        <f>IF($G$196="Avg Effluent TKN (mg/L)",F197,E197)</f>
        <v>2.975</v>
      </c>
      <c r="H197" s="199">
        <f>(SUMPRODUCT(--(Table4[Year]=1),Table4[Avg effluent NOx])+SUMPRODUCT(--(Table4[Year]=2),Table4[Avg effluent NOx]))/(SUMPRODUCT(--(Table4[Year]=1),--(Table4[Avg effluent NOx]&lt;&gt;""))+SUMPRODUCT(--(Table4[Year]=2),--(Table4[Avg effluent NOx]&lt;&gt;"")))</f>
        <v>14.925000000000002</v>
      </c>
      <c r="I197" s="200">
        <f>(SUMPRODUCT(--(Table4[Year]=1),Table4[Approx TN removal (lbs)])+SUMPRODUCT(--(Table4[Year]=2),Table4[Approx TN removal (lbs)]))/(SUMPRODUCT(--(Table4[Year]=1),--(Table4[Approx TN removal (lbs)]&lt;&gt;""))+SUMPRODUCT(--(Table4[Year]=2),--(Table4[Approx TN removal (lbs)]&lt;&gt;"")))</f>
        <v>8391.12698</v>
      </c>
      <c r="J197" s="163">
        <f>ROUND((I197*12/2000),1)</f>
        <v>50.3</v>
      </c>
      <c r="K197" s="171" t="s">
        <v>134</v>
      </c>
      <c r="L197" s="200"/>
      <c r="M197" s="200"/>
      <c r="N197" s="199">
        <f>(SUMPRODUCT(--(Table4[Year]=1),Table4[Avg influent TP])+SUMPRODUCT(--(Table4[Year]=2),Table4[Avg influent TP]))/(SUMPRODUCT(--(Table4[Year]=1),--(Table4[Avg influent TP]&lt;&gt;""))+SUMPRODUCT(--(Table4[Year]=2),--(Table4[Avg influent TP]&lt;&gt;"")))</f>
        <v>8.066666666666665</v>
      </c>
      <c r="O197" s="199">
        <f>(SUMPRODUCT(--(Table4[Year]=1),Table4[Avg effluent TP])+SUMPRODUCT(--(Table4[Year]=2),Table4[Avg effluent TP]))/(SUMPRODUCT(--(Table4[Year]=1),--(Table4[Avg effluent TP]&lt;&gt;""))+SUMPRODUCT(--(Table4[Year]=2),--(Table4[Avg effluent TP]&lt;&gt;"")))</f>
        <v>1.0166666666666666</v>
      </c>
      <c r="P197" s="200">
        <f>(SUMPRODUCT(--(Table4[Year]=1),Table4[Calculated TP removal (lbs)])+SUMPRODUCT(--(Table4[Year]=2),Table4[Calculated TP removal (lbs)]))/(SUMPRODUCT(--(Table4[Year]=1),--(Table4[Calculated TP removal (lbs)]&lt;&gt;""))+SUMPRODUCT(--(Table4[Year]=2),--(Table4[Calculated TP removal (lbs)]&lt;&gt;"")))</f>
        <v>3610.0197350000003</v>
      </c>
      <c r="Q197" s="171" t="s">
        <v>134</v>
      </c>
      <c r="R197" s="172"/>
    </row>
    <row r="198" spans="2:18" ht="15">
      <c r="B198" s="487"/>
      <c r="C198" s="171"/>
      <c r="D198" s="199"/>
      <c r="E198" s="199"/>
      <c r="F198" s="199"/>
      <c r="G198" s="199"/>
      <c r="H198" s="199"/>
      <c r="I198" s="171"/>
      <c r="J198" s="132"/>
      <c r="K198" s="171"/>
      <c r="L198" s="200"/>
      <c r="M198" s="200"/>
      <c r="N198" s="199"/>
      <c r="O198" s="199"/>
      <c r="P198" s="200"/>
      <c r="Q198" s="171"/>
      <c r="R198" s="172"/>
    </row>
    <row r="199" spans="2:18" ht="15">
      <c r="B199" s="487">
        <v>3</v>
      </c>
      <c r="C199" s="171" t="str">
        <f>TEXT(DATE(YEAR(B$28),MONTH(B$28),DAY(B$28)),"mmm yyyy")&amp;" - "&amp;TEXT(DATE(YEAR(B$39),MONTH(B$39),DAY(B$39)),"mmm yyyy")</f>
        <v>Jul 2017 - Jun 2018</v>
      </c>
      <c r="D199" s="199">
        <f>SUMPRODUCT(--(Table4[Year]=B199),Table4[Avg influent TKN])/SUMPRODUCT(--(Table4[Year]=B199),--(Table4[Avg influent TKN]&lt;&gt;""))+SUMPRODUCT(--(Table4[Year]=B199),Table4[Avg influent NOx])/SUMPRODUCT(--(Table4[Year]=B199),--(Table4[Avg influent NOx]&lt;&gt;""))</f>
        <v>35</v>
      </c>
      <c r="E199" s="199">
        <f>SUMPRODUCT(--(Table4[Year]=B199),Table4[Avg effluent NH3])/SUMPRODUCT(--(Table4[Year]=B199),--(Table4[Avg effluent NH3]&lt;&gt;""))</f>
        <v>1.1666666666666667</v>
      </c>
      <c r="F199" s="199">
        <f>SUMPRODUCT(--(Table4[Year]=B199),Table4[Avg effluent TKN])/SUMPRODUCT(--(Table4[Year]=B199),--(Table4[Avg effluent TKN]&lt;&gt;""))</f>
        <v>2.891666666666666</v>
      </c>
      <c r="G199" s="199">
        <f aca="true" t="shared" si="20" ref="G199:G204">IF($G$196="Avg Effluent TKN (mg/L)",F199,E199)</f>
        <v>2.891666666666666</v>
      </c>
      <c r="H199" s="199">
        <f>SUMPRODUCT(--(Table4[Year]=B199),Table4[Avg effluent NOx])/SUMPRODUCT(--(Table4[Year]=B199),--(Table4[Avg effluent NOx]&lt;&gt;""))</f>
        <v>10.25</v>
      </c>
      <c r="I199" s="178">
        <f>SUMPRODUCT(--(Table4[Year]=B199),Table4[Approx TN removal (lbs)])/SUMPRODUCT(--(Table4[Year]=B199),--(Table4[Approx TN removal (lbs)]&lt;&gt;""))</f>
        <v>11030.14623</v>
      </c>
      <c r="J199" s="163">
        <f>ROUND((I199*12/2000),1)</f>
        <v>66.2</v>
      </c>
      <c r="K199" s="163">
        <f>IF(L199="Yes",_xlfn.IFERROR(D199*8.34*SUMPRODUCT(--(Table4[Year]=B199),Table4[Monthly Flow])*(((D199-(G199+H199))/D199)-(D$197-(G$197+H$197))/D$197),""),"")</f>
        <v>31148.18652569345</v>
      </c>
      <c r="L199" s="292" t="str">
        <f>IF(SUMPRODUCT(--(Table4[Year]=B199),--(Table4[Approx TN removal (lbs)]&lt;&gt;""))&lt;(SUMPRODUCT(--(Table4[Year]=B199),--(Table4[Avg Daily Flow]&lt;&gt;"")))/3,"No","Yes")</f>
        <v>Yes</v>
      </c>
      <c r="M199" s="292"/>
      <c r="N199" s="199">
        <f>SUMPRODUCT(--(Table4[Year]=B199),Table4[Avg influent TP])/SUMPRODUCT(--(Table4[Year]=B199),--(Table4[Avg influent TP]&lt;&gt;""))</f>
        <v>7.891666666666667</v>
      </c>
      <c r="O199" s="199">
        <f>SUMPRODUCT(--(Table4[Year]=B199),Table4[Avg effluent TP])/SUMPRODUCT(--(Table4[Year]=B199),--(Table4[Avg effluent TP]&lt;&gt;""))</f>
        <v>1.1583333333333332</v>
      </c>
      <c r="P199" s="200">
        <f>(SUMPRODUCT(--(Table4[Year]=B199),Table4[Calculated TP removal (lbs)]))/(SUMPRODUCT(--(Table4[Year]=B199),--(Table4[Calculated TP removal (lbs)]&lt;&gt;"")))</f>
        <v>3384.19269</v>
      </c>
      <c r="Q199" s="200">
        <f>IF(R199="Yes",_xlfn.IFERROR(N199*8.34*SUMPRODUCT(--(Table4[Year]=B199),Table4[Monthly Flow])*(((N199-O199)/N199)-(N$197-O$197)/N$197),""),"")</f>
        <v>-990.1662759917378</v>
      </c>
      <c r="R199" s="172" t="str">
        <f>IF(SUMPRODUCT(--(Table4[Year]=B199),--(Table4[Calculated TP removal (lbs)]&lt;&gt;""))&lt;(SUMPRODUCT(--(Table4[Year]=B199),--(Table4[Avg Daily Flow]&lt;&gt;"")))/3,"No","Yes")</f>
        <v>Yes</v>
      </c>
    </row>
    <row r="200" spans="2:18" ht="15">
      <c r="B200" s="487">
        <v>4</v>
      </c>
      <c r="C200" s="171" t="str">
        <f>TEXT(DATE(YEAR(B$40),MONTH(B$40),DAY(B$40)),"mmm yyyy")&amp;" - "&amp;TEXT(DATE(YEAR(B$51),MONTH(B$51),DAY(B$51)),"mmm yyyy")</f>
        <v>Jul 2018 - Jun 2019</v>
      </c>
      <c r="D200" s="199">
        <f>SUMPRODUCT(--(Table4[Year]=B200),Table4[Avg influent TKN])/SUMPRODUCT(--(Table4[Year]=B200),--(Table4[Avg influent TKN]&lt;&gt;""))+SUMPRODUCT(--(Table4[Year]=B200),Table4[Avg influent NOx])/SUMPRODUCT(--(Table4[Year]=B200),--(Table4[Avg influent NOx]&lt;&gt;""))</f>
        <v>35.166666666666664</v>
      </c>
      <c r="E200" s="199">
        <f>SUMPRODUCT(--(Table4[Year]=B200),Table4[Avg effluent NH3])/SUMPRODUCT(--(Table4[Year]=B200),--(Table4[Avg effluent NH3]&lt;&gt;""))</f>
        <v>1.2166666666666668</v>
      </c>
      <c r="F200" s="199">
        <f>SUMPRODUCT(--(Table4[Year]=B200),Table4[Avg effluent TKN])/SUMPRODUCT(--(Table4[Year]=B200),--(Table4[Avg effluent TKN]&lt;&gt;""))</f>
        <v>3.0916666666666672</v>
      </c>
      <c r="G200" s="199">
        <f t="shared" si="20"/>
        <v>3.0916666666666672</v>
      </c>
      <c r="H200" s="199">
        <f>SUMPRODUCT(--(Table4[Year]=B200),Table4[Avg effluent NOx])/SUMPRODUCT(--(Table4[Year]=B200),--(Table4[Avg effluent NOx]&lt;&gt;""))</f>
        <v>10.141666666666667</v>
      </c>
      <c r="I200" s="178">
        <f>SUMPRODUCT(--(Table4[Year]=B200),Table4[Approx TN removal (lbs)])/SUMPRODUCT(--(Table4[Year]=B200),--(Table4[Approx TN removal (lbs)]&lt;&gt;""))</f>
        <v>11252.23348</v>
      </c>
      <c r="J200" s="163">
        <f>ROUND((I200*12/2000),1)</f>
        <v>67.5</v>
      </c>
      <c r="K200" s="163">
        <f>IF(L200="Yes",_xlfn.IFERROR(D200*8.34*SUMPRODUCT(--(Table4[Year]=B200),Table4[Monthly Flow])*(((D200-(G200+H200))/D200)-(D$197-(G$197+H$197))/D$197),""),"")</f>
        <v>31975.472582189792</v>
      </c>
      <c r="L200" s="292" t="str">
        <f>IF(SUMPRODUCT(--(Table4[Year]=B200),--(Table4[Approx TN removal (lbs)]&lt;&gt;""))&lt;(SUMPRODUCT(--(Table4[Year]=B200),--(Table4[Avg Daily Flow]&lt;&gt;"")))/3,"No","Yes")</f>
        <v>Yes</v>
      </c>
      <c r="M200" s="292"/>
      <c r="N200" s="199">
        <f>SUMPRODUCT(--(Table4[Year]=B200),Table4[Avg influent TP])/SUMPRODUCT(--(Table4[Year]=B200),--(Table4[Avg influent TP]&lt;&gt;""))</f>
        <v>8.058333333333332</v>
      </c>
      <c r="O200" s="199">
        <f>SUMPRODUCT(--(Table4[Year]=B200),Table4[Avg effluent TP])/SUMPRODUCT(--(Table4[Year]=B200),--(Table4[Avg effluent TP]&lt;&gt;""))</f>
        <v>1.0666666666666667</v>
      </c>
      <c r="P200" s="200">
        <f>(SUMPRODUCT(--(Table4[Year]=B200),Table4[Calculated TP removal (lbs)]))/(SUMPRODUCT(--(Table4[Year]=B200),--(Table4[Calculated TP removal (lbs)]&lt;&gt;"")))</f>
        <v>3635.49357</v>
      </c>
      <c r="Q200" s="200">
        <f>IF(R200="Yes",_xlfn.IFERROR(N200*8.34*SUMPRODUCT(--(Table4[Year]=B200),Table4[Monthly Flow])*(((N200-O200)/N200)-(N$197-O$197)/N$197),""),"")</f>
        <v>-317.22473739669346</v>
      </c>
      <c r="R200" s="172" t="str">
        <f>IF(SUMPRODUCT(--(Table4[Year]=B200),--(Table4[Calculated TP removal (lbs)]&lt;&gt;""))&lt;(SUMPRODUCT(--(Table4[Year]=B200),--(Table4[Avg Daily Flow]&lt;&gt;"")))/3,"No","Yes")</f>
        <v>Yes</v>
      </c>
    </row>
    <row r="201" spans="2:18" ht="15">
      <c r="B201" s="487">
        <v>5</v>
      </c>
      <c r="C201" s="171" t="str">
        <f>TEXT(DATE(YEAR(B$52),MONTH(B$52),DAY(B$52)),"mmm yyyy")&amp;" - "&amp;TEXT(DATE(YEAR(B$63),MONTH(B$63),DAY(B$63)),"mmm yyyy")</f>
        <v>Jul 2019 - Jun 2020</v>
      </c>
      <c r="D201" s="199">
        <f>SUMPRODUCT(--(Table4[Year]=B201),Table4[Avg influent TKN])/SUMPRODUCT(--(Table4[Year]=B201),--(Table4[Avg influent TKN]&lt;&gt;""))+SUMPRODUCT(--(Table4[Year]=B201),Table4[Avg influent NOx])/SUMPRODUCT(--(Table4[Year]=B201),--(Table4[Avg influent NOx]&lt;&gt;""))</f>
        <v>34.833333333333336</v>
      </c>
      <c r="E201" s="199">
        <f>SUMPRODUCT(--(Table4[Year]=B201),Table4[Avg effluent NH3])/SUMPRODUCT(--(Table4[Year]=B201),--(Table4[Avg effluent NH3]&lt;&gt;""))</f>
        <v>1.0916666666666666</v>
      </c>
      <c r="F201" s="199">
        <f>SUMPRODUCT(--(Table4[Year]=B201),Table4[Avg effluent TKN])/SUMPRODUCT(--(Table4[Year]=B201),--(Table4[Avg effluent TKN]&lt;&gt;""))</f>
        <v>3.016666666666666</v>
      </c>
      <c r="G201" s="199">
        <f t="shared" si="20"/>
        <v>3.016666666666666</v>
      </c>
      <c r="H201" s="199">
        <f>SUMPRODUCT(--(Table4[Year]=B201),Table4[Avg effluent NOx])/SUMPRODUCT(--(Table4[Year]=B201),--(Table4[Avg effluent NOx]&lt;&gt;""))</f>
        <v>7.933333333333334</v>
      </c>
      <c r="I201" s="178">
        <f>SUMPRODUCT(--(Table4[Year]=B201),Table4[Approx TN removal (lbs)])/SUMPRODUCT(--(Table4[Year]=B201),--(Table4[Approx TN removal (lbs)]&lt;&gt;""))</f>
        <v>12380.746679999998</v>
      </c>
      <c r="J201" s="163">
        <f>ROUND((I201*12/2000),1)</f>
        <v>74.3</v>
      </c>
      <c r="K201" s="163">
        <f>IF(L201="Yes",_xlfn.IFERROR(D201*8.34*SUMPRODUCT(--(Table4[Year]=B201),Table4[Monthly Flow])*(((D201-(G201+H201))/D201)-(D$197-(G$197+H$197))/D$197),""),"")</f>
        <v>44872.15116277373</v>
      </c>
      <c r="L201" s="292" t="str">
        <f>IF(SUMPRODUCT(--(Table4[Year]=B201),--(Table4[Approx TN removal (lbs)]&lt;&gt;""))&lt;(SUMPRODUCT(--(Table4[Year]=B201),--(Table4[Avg Daily Flow]&lt;&gt;"")))/3,"No","Yes")</f>
        <v>Yes</v>
      </c>
      <c r="M201" s="292"/>
      <c r="N201" s="199">
        <f>SUMPRODUCT(--(Table4[Year]=B201),Table4[Avg influent TP])/SUMPRODUCT(--(Table4[Year]=B201),--(Table4[Avg influent TP]&lt;&gt;""))</f>
        <v>7.991666666666666</v>
      </c>
      <c r="O201" s="199">
        <f>SUMPRODUCT(--(Table4[Year]=B201),Table4[Avg effluent TP])/SUMPRODUCT(--(Table4[Year]=B201),--(Table4[Avg effluent TP]&lt;&gt;""))</f>
        <v>1.0666666666666667</v>
      </c>
      <c r="P201" s="200">
        <f>(SUMPRODUCT(--(Table4[Year]=B201),Table4[Calculated TP removal (lbs)]))/(SUMPRODUCT(--(Table4[Year]=B201),--(Table4[Calculated TP removal (lbs)]&lt;&gt;"")))</f>
        <v>3552.89977</v>
      </c>
      <c r="Q201" s="200">
        <f>IF(R201="Yes",_xlfn.IFERROR(N201*8.34*SUMPRODUCT(--(Table4[Year]=B201),Table4[Monthly Flow])*(((N201-O201)/N201)-(N$197-O$197)/N$197),""),"")</f>
        <v>-367.72017204545347</v>
      </c>
      <c r="R201" s="172" t="str">
        <f>IF(SUMPRODUCT(--(Table4[Year]=B201),--(Table4[Calculated TP removal (lbs)]&lt;&gt;""))&lt;(SUMPRODUCT(--(Table4[Year]=B201),--(Table4[Avg Daily Flow]&lt;&gt;"")))/3,"No","Yes")</f>
        <v>Yes</v>
      </c>
    </row>
    <row r="202" spans="2:18" ht="15">
      <c r="B202" s="487">
        <v>6</v>
      </c>
      <c r="C202" s="171" t="str">
        <f>TEXT(DATE(YEAR(B$64),MONTH(B$64),DAY(B$64)),"mmm yyyy")&amp;" - "&amp;TEXT(DATE(YEAR(B$75),MONTH(B$75),DAY(B$75)),"mmm yyyy")</f>
        <v>Jul 2020 - Jun 2021</v>
      </c>
      <c r="D202" s="199">
        <f>SUMPRODUCT(--(Table4[Year]=B202),Table4[Avg influent TKN])/SUMPRODUCT(--(Table4[Year]=B202),--(Table4[Avg influent TKN]&lt;&gt;""))+SUMPRODUCT(--(Table4[Year]=B202),Table4[Avg influent NOx])/SUMPRODUCT(--(Table4[Year]=B202),--(Table4[Avg influent NOx]&lt;&gt;""))</f>
        <v>34.583333333333336</v>
      </c>
      <c r="E202" s="199">
        <f>SUMPRODUCT(--(Table4[Year]=B202),Table4[Avg effluent NH3])/SUMPRODUCT(--(Table4[Year]=B202),--(Table4[Avg effluent NH3]&lt;&gt;""))</f>
        <v>1.2916666666666667</v>
      </c>
      <c r="F202" s="199">
        <f>SUMPRODUCT(--(Table4[Year]=B202),Table4[Avg effluent TKN])/SUMPRODUCT(--(Table4[Year]=B202),--(Table4[Avg effluent TKN]&lt;&gt;""))</f>
        <v>3.0833333333333326</v>
      </c>
      <c r="G202" s="199">
        <f t="shared" si="20"/>
        <v>3.0833333333333326</v>
      </c>
      <c r="H202" s="199">
        <f>SUMPRODUCT(--(Table4[Year]=B202),Table4[Avg effluent NOx])/SUMPRODUCT(--(Table4[Year]=B202),--(Table4[Avg effluent NOx]&lt;&gt;""))</f>
        <v>8.283333333333333</v>
      </c>
      <c r="I202" s="178">
        <f>SUMPRODUCT(--(Table4[Year]=B202),Table4[Approx TN removal (lbs)])/SUMPRODUCT(--(Table4[Year]=B202),--(Table4[Approx TN removal (lbs)]&lt;&gt;""))</f>
        <v>11621.053300000001</v>
      </c>
      <c r="J202" s="163">
        <f>ROUND((I202*12/2000),1)</f>
        <v>69.7</v>
      </c>
      <c r="K202" s="163">
        <f>IF(L202="Yes",_xlfn.IFERROR(D202*8.34*SUMPRODUCT(--(Table4[Year]=B202),Table4[Monthly Flow])*(((D202-(G202+H202))/D202)-(D$197-(G$197+H$197))/D$197),""),"")</f>
        <v>40666.800378394175</v>
      </c>
      <c r="L202" s="292" t="str">
        <f>IF(SUMPRODUCT(--(Table4[Year]=B202),--(Table4[Approx TN removal (lbs)]&lt;&gt;""))&lt;(SUMPRODUCT(--(Table4[Year]=B202),--(Table4[Avg Daily Flow]&lt;&gt;"")))/3,"No","Yes")</f>
        <v>Yes</v>
      </c>
      <c r="M202" s="292"/>
      <c r="N202" s="199">
        <f>SUMPRODUCT(--(Table4[Year]=B202),Table4[Avg influent TP])/SUMPRODUCT(--(Table4[Year]=B202),--(Table4[Avg influent TP]&lt;&gt;""))</f>
        <v>8.375</v>
      </c>
      <c r="O202" s="199">
        <f>SUMPRODUCT(--(Table4[Year]=B202),Table4[Avg effluent TP])/SUMPRODUCT(--(Table4[Year]=B202),--(Table4[Avg effluent TP]&lt;&gt;""))</f>
        <v>1.0499999999999998</v>
      </c>
      <c r="P202" s="200">
        <f>(SUMPRODUCT(--(Table4[Year]=B202),Table4[Calculated TP removal (lbs)]))/(SUMPRODUCT(--(Table4[Year]=B202),--(Table4[Calculated TP removal (lbs)]&lt;&gt;"")))</f>
        <v>3705.6454800000006</v>
      </c>
      <c r="Q202" s="200">
        <f>IF(R202="Yes",_xlfn.IFERROR(N202*8.34*SUMPRODUCT(--(Table4[Year]=B202),Table4[Monthly Flow])*(((N202-O202)/N202)-(N$197-O$197)/N$197),""),"")</f>
        <v>33.50850024793422</v>
      </c>
      <c r="R202" s="172" t="str">
        <f>IF(SUMPRODUCT(--(Table4[Year]=B202),--(Table4[Calculated TP removal (lbs)]&lt;&gt;""))&lt;(SUMPRODUCT(--(Table4[Year]=B202),--(Table4[Avg Daily Flow]&lt;&gt;"")))/3,"No","Yes")</f>
        <v>Yes</v>
      </c>
    </row>
    <row r="203" spans="2:18" ht="15">
      <c r="B203" s="487">
        <v>7</v>
      </c>
      <c r="C203" s="171" t="str">
        <f>TEXT(DATE(YEAR(B$76),MONTH(B$76),DAY(B$76)),"mmm yyyy")&amp;" - "&amp;TEXT(DATE(YEAR(B$87),MONTH(B$87),DAY(B$87)),"mmm yyyy")</f>
        <v>Jul 2021 - Jun 2022</v>
      </c>
      <c r="D203" s="199">
        <f>SUMPRODUCT(--(Table4[Year]=B203),Table4[Avg influent TKN])/SUMPRODUCT(--(Table4[Year]=B203),--(Table4[Avg influent TKN]&lt;&gt;""))+SUMPRODUCT(--(Table4[Year]=B203),Table4[Avg influent NOx])/SUMPRODUCT(--(Table4[Year]=B203),--(Table4[Avg influent NOx]&lt;&gt;""))</f>
        <v>36.083333333333336</v>
      </c>
      <c r="E203" s="199">
        <f>SUMPRODUCT(--(Table4[Year]=B203),Table4[Avg effluent NH3])/SUMPRODUCT(--(Table4[Year]=B203),--(Table4[Avg effluent NH3]&lt;&gt;""))</f>
        <v>1.225</v>
      </c>
      <c r="F203" s="199">
        <f>SUMPRODUCT(--(Table4[Year]=B203),Table4[Avg effluent TKN])/SUMPRODUCT(--(Table4[Year]=B203),--(Table4[Avg effluent TKN]&lt;&gt;""))</f>
        <v>2.9499999999999997</v>
      </c>
      <c r="G203" s="199">
        <f t="shared" si="20"/>
        <v>2.9499999999999997</v>
      </c>
      <c r="H203" s="199">
        <f>SUMPRODUCT(--(Table4[Year]=B203),Table4[Avg effluent NOx])/SUMPRODUCT(--(Table4[Year]=B203),--(Table4[Avg effluent NOx]&lt;&gt;""))</f>
        <v>7.866666666666666</v>
      </c>
      <c r="I203" s="178">
        <f>SUMPRODUCT(--(Table4[Year]=B203),Table4[Approx TN removal (lbs)])/SUMPRODUCT(--(Table4[Year]=B203),--(Table4[Approx TN removal (lbs)]&lt;&gt;""))</f>
        <v>11821.76374</v>
      </c>
      <c r="J203" s="163">
        <f>ROUND((I203*12/2000),1)</f>
        <v>70.9</v>
      </c>
      <c r="K203" s="163">
        <f>IF(L203="Yes",_xlfn.IFERROR(D203*8.34*SUMPRODUCT(--(Table4[Year]=B203),Table4[Monthly Flow])*(((D203-(G203+H203))/D203)-(D$197-(G$197+H$197))/D$197),""),"")</f>
        <v>45569.99080087593</v>
      </c>
      <c r="L203" s="292" t="str">
        <f>IF(SUMPRODUCT(--(Table4[Year]=B203),--(Table4[Approx TN removal (lbs)]&lt;&gt;""))&lt;(SUMPRODUCT(--(Table4[Year]=B203),--(Table4[Avg Daily Flow]&lt;&gt;"")))/3,"No","Yes")</f>
        <v>Yes</v>
      </c>
      <c r="M203" s="292"/>
      <c r="N203" s="199">
        <f>SUMPRODUCT(--(Table4[Year]=B203),Table4[Avg influent TP])/SUMPRODUCT(--(Table4[Year]=B203),--(Table4[Avg influent TP]&lt;&gt;""))</f>
        <v>8.258333333333333</v>
      </c>
      <c r="O203" s="199">
        <f>SUMPRODUCT(--(Table4[Year]=B203),Table4[Avg effluent TP])/SUMPRODUCT(--(Table4[Year]=B203),--(Table4[Avg effluent TP]&lt;&gt;""))</f>
        <v>0.9666666666666667</v>
      </c>
      <c r="P203" s="200">
        <f>(SUMPRODUCT(--(Table4[Year]=B203),Table4[Calculated TP removal (lbs)]))/(SUMPRODUCT(--(Table4[Year]=B203),--(Table4[Calculated TP removal (lbs)]&lt;&gt;"")))</f>
        <v>3440.190229999999</v>
      </c>
      <c r="Q203" s="200">
        <f>IF(R203="Yes",_xlfn.IFERROR(N203*8.34*SUMPRODUCT(--(Table4[Year]=B203),Table4[Monthly Flow])*(((N203-O203)/N203)-(N$197-O$197)/N$197),""),"")</f>
        <v>420.23381202479175</v>
      </c>
      <c r="R203" s="172" t="str">
        <f>IF(SUMPRODUCT(--(Table4[Year]=B203),--(Table4[Calculated TP removal (lbs)]&lt;&gt;""))&lt;(SUMPRODUCT(--(Table4[Year]=B203),--(Table4[Avg Daily Flow]&lt;&gt;"")))/3,"No","Yes")</f>
        <v>Yes</v>
      </c>
    </row>
    <row r="204" spans="2:18" ht="15" thickBot="1">
      <c r="B204" s="187"/>
      <c r="C204" s="105" t="s">
        <v>140</v>
      </c>
      <c r="D204" s="208">
        <f>((SUMPRODUCT(--(Table4[Year]=3),Table4[Avg influent TKN])+SUMPRODUCT(--(Table4[Year]=4),Table4[Avg influent TKN])+SUMPRODUCT(--(Table4[Year]=5),Table4[Avg influent TKN])+SUMPRODUCT(--(Table4[Year]=6),Table4[Avg influent TKN])+SUMPRODUCT(--(Table4[Year]=7),Table4[Avg influent TKN]))/(SUMPRODUCT(--(Table4[Year]=3),--(Table4[Avg influent TKN]&lt;&gt;""))+SUMPRODUCT(--(Table4[Year]=4),--(Table4[Avg influent TKN]&lt;&gt;""))+SUMPRODUCT(--(Table4[Year]=5),--(Table4[Avg influent TKN]&lt;&gt;""))+SUMPRODUCT(--(Table4[Year]=6),--(Table4[Avg influent TKN]&lt;&gt;""))+SUMPRODUCT(--(Table4[Year]=7),--(Table4[Avg influent TKN]&lt;&gt;"")))+(SUMPRODUCT(--(Table4[Year]=3),Table4[Avg influent NOx])+SUMPRODUCT(--(Table4[Year]=4),Table4[Avg influent NOx])+SUMPRODUCT(--(Table4[Year]=5),Table4[Avg influent NOx])+SUMPRODUCT(--(Table4[Year]=6),Table4[Avg influent NOx])+SUMPRODUCT(--(Table4[Year]=7),Table4[Avg influent NOx]))/(SUMPRODUCT(--(Table4[Year]=3),--(Table4[Avg influent NOx]&lt;&gt;""))+SUMPRODUCT(--(Table4[Year]=4),--(Table4[Avg influent NOx]&lt;&gt;""))+SUMPRODUCT(--(Table4[Year]=5),--(Table4[Avg influent NOx]&lt;&gt;""))+SUMPRODUCT(--(Table4[Year]=6),--(Table4[Avg influent NOx]&lt;&gt;""))+SUMPRODUCT(--(Table4[Year]=7),--(Table4[Avg influent NOx]&lt;&gt;""))))/D197-1</f>
        <v>0.025790754257907444</v>
      </c>
      <c r="E204" s="208">
        <f>((SUMPRODUCT(--(Table4[Year]=3),Table4[Avg effluent NH3])+SUMPRODUCT(--(Table4[Year]=4),Table4[Avg effluent NH3])+SUMPRODUCT(--(Table4[Year]=5),Table4[Avg effluent NH3])+SUMPRODUCT(--(Table4[Year]=6),Table4[Avg effluent NH3])+SUMPRODUCT(--(Table4[Year]=7),Table4[Avg effluent NH3]))/(SUMPRODUCT(--(Table4[Year]=3),--(Table4[Avg effluent NH3]&lt;&gt;""))+SUMPRODUCT(--(Table4[Year]=4),--(Table4[Avg effluent NH3]&lt;&gt;""))+SUMPRODUCT(--(Table4[Year]=5),--(Table4[Avg effluent NH3]&lt;&gt;""))+SUMPRODUCT(--(Table4[Year]=6),--(Table4[Avg effluent NH3]&lt;&gt;""))+SUMPRODUCT(--(Table4[Year]=7),--(Table4[Avg effluent NH3]&lt;&gt;""))))/E197-1</f>
        <v>-0.021768707482992977</v>
      </c>
      <c r="F204" s="208">
        <f>((SUMPRODUCT(--(Table4[Year]=3),Table4[Avg effluent TKN])+SUMPRODUCT(--(Table4[Year]=4),Table4[Avg effluent TKN])+SUMPRODUCT(--(Table4[Year]=5),Table4[Avg effluent TKN])+SUMPRODUCT(--(Table4[Year]=6),Table4[Avg effluent TKN])+SUMPRODUCT(--(Table4[Year]=7),Table4[Avg effluent TKN]))/(SUMPRODUCT(--(Table4[Year]=3),--(Table4[Avg effluent TKN]&lt;&gt;""))+SUMPRODUCT(--(Table4[Year]=4),--(Table4[Avg effluent TKN]&lt;&gt;""))+SUMPRODUCT(--(Table4[Year]=5),--(Table4[Avg effluent TKN]&lt;&gt;""))+SUMPRODUCT(--(Table4[Year]=6),--(Table4[Avg effluent TKN]&lt;&gt;""))+SUMPRODUCT(--(Table4[Year]=7),--(Table4[Avg effluent TKN]&lt;&gt;""))))/F197-1</f>
        <v>0.010644257703081195</v>
      </c>
      <c r="G204" s="208">
        <f t="shared" si="20"/>
        <v>0.010644257703081195</v>
      </c>
      <c r="H204" s="208">
        <f>((SUMPRODUCT(--(Table4[Year]=3),Table4[Avg effluent NOx])+SUMPRODUCT(--(Table4[Year]=4),Table4[Avg effluent NOx])+SUMPRODUCT(--(Table4[Year]=5),Table4[Avg effluent NOx])+SUMPRODUCT(--(Table4[Year]=6),Table4[Avg effluent NOx])+SUMPRODUCT(--(Table4[Year]=7),Table4[Avg effluent NOx]))/(SUMPRODUCT(--(Table4[Year]=3),--(Table4[Avg effluent NOx]&lt;&gt;""))+SUMPRODUCT(--(Table4[Year]=4),--(Table4[Avg effluent NOx]&lt;&gt;""))+SUMPRODUCT(--(Table4[Year]=5),--(Table4[Avg effluent NOx]&lt;&gt;""))+SUMPRODUCT(--(Table4[Year]=6),--(Table4[Avg effluent NOx]&lt;&gt;""))+SUMPRODUCT(--(Table4[Year]=7),--(Table4[Avg effluent NOx]&lt;&gt;""))))/H197-1</f>
        <v>-0.4040201005025126</v>
      </c>
      <c r="I204" s="208">
        <f>((SUMPRODUCT(--(Table4[Year]=3),Table4[Approx TN removal (lbs)])+SUMPRODUCT(--(Table4[Year]=4),Table4[Approx TN removal (lbs)])+SUMPRODUCT(--(Table4[Year]=5),Table4[Approx TN removal (lbs)])+SUMPRODUCT(--(Table4[Year]=6),Table4[Approx TN removal (lbs)])+SUMPRODUCT(--(Table4[Year]=7),Table4[Approx TN removal (lbs)]))/(SUMPRODUCT(--(Table4[Year]=3),--(Table4[Approx TN removal (lbs)]&lt;&gt;""))+SUMPRODUCT(--(Table4[Year]=4),--(Table4[Approx TN removal (lbs)]&lt;&gt;""))+SUMPRODUCT(--(Table4[Year]=5),--(Table4[Approx TN removal (lbs)]&lt;&gt;""))+SUMPRODUCT(--(Table4[Year]=6),--(Table4[Approx TN removal (lbs)]&lt;&gt;""))+SUMPRODUCT(--(Table4[Year]=7),--(Table4[Approx TN removal (lbs)]&lt;&gt;""))))/I197-1</f>
        <v>0.38493776982504957</v>
      </c>
      <c r="J204" s="105"/>
      <c r="K204" s="488">
        <f>SUM(K199:K203)</f>
        <v>194232.60144992708</v>
      </c>
      <c r="L204" s="386"/>
      <c r="M204" s="386"/>
      <c r="N204" s="208">
        <f>((SUMPRODUCT(--(Table4[Year]=3),Table4[Avg influent TP])+SUMPRODUCT(--(Table4[Year]=4),Table4[Avg influent TP])+SUMPRODUCT(--(Table4[Year]=5),Table4[Avg influent TP])+SUMPRODUCT(--(Table4[Year]=6),Table4[Avg influent TP])+SUMPRODUCT(--(Table4[Year]=7),Table4[Avg influent TP]))/(SUMPRODUCT(--(Table4[Year]=3),--(Table4[Avg influent TP]&lt;&gt;""))+SUMPRODUCT(--(Table4[Year]=4),--(Table4[Avg influent TP]&lt;&gt;""))+SUMPRODUCT(--(Table4[Year]=5),--(Table4[Avg influent TP]&lt;&gt;""))+SUMPRODUCT(--(Table4[Year]=6),--(Table4[Avg influent TP]&lt;&gt;""))+SUMPRODUCT(--(Table4[Year]=7),--(Table4[Avg influent TP]&lt;&gt;""))))/N197-1</f>
        <v>0.005991735537190346</v>
      </c>
      <c r="O204" s="208">
        <f>((SUMPRODUCT(--(Table4[Year]=3),Table4[Avg effluent TP])+SUMPRODUCT(--(Table4[Year]=4),Table4[Avg effluent TP])+SUMPRODUCT(--(Table4[Year]=5),Table4[Avg effluent TP])+SUMPRODUCT(--(Table4[Year]=6),Table4[Avg effluent TP])+SUMPRODUCT(--(Table4[Year]=7),Table4[Avg effluent TP]))/(SUMPRODUCT(--(Table4[Year]=3),--(Table4[Avg effluent TP]&lt;&gt;""))+SUMPRODUCT(--(Table4[Year]=4),--(Table4[Avg effluent TP]&lt;&gt;""))+SUMPRODUCT(--(Table4[Year]=5),--(Table4[Avg effluent TP]&lt;&gt;""))+SUMPRODUCT(--(Table4[Year]=6),--(Table4[Avg effluent TP]&lt;&gt;""))+SUMPRODUCT(--(Table4[Year]=7),--(Table4[Avg effluent TP]&lt;&gt;""))))/O197-1</f>
        <v>0.04426229508196711</v>
      </c>
      <c r="P204" s="208">
        <f>((SUMPRODUCT(--(Table4[Year]=3),Table4[Calculated TP removal (lbs)])+SUMPRODUCT(--(Table4[Year]=4),Table4[Calculated TP removal (lbs)])+SUMPRODUCT(--(Table4[Year]=5),Table4[Calculated TP removal (lbs)])+SUMPRODUCT(--(Table4[Year]=6),Table4[Calculated TP removal (lbs)])+SUMPRODUCT(--(Table4[Year]=7),Table4[Calculated TP removal (lbs)]))/(SUMPRODUCT(--(Table4[Year]=3),--(Table4[Calculated TP removal (lbs)]&lt;&gt;""))+SUMPRODUCT(--(Table4[Year]=4),--(Table4[Calculated TP removal (lbs)]&lt;&gt;""))+SUMPRODUCT(--(Table4[Year]=5),--(Table4[Calculated TP removal (lbs)]&lt;&gt;""))+SUMPRODUCT(--(Table4[Year]=6),--(Table4[Calculated TP removal (lbs)]&lt;&gt;""))+SUMPRODUCT(--(Table4[Year]=7),--(Table4[Calculated TP removal (lbs)]&lt;&gt;""))))/P197-1</f>
        <v>-0.018375353008977413</v>
      </c>
      <c r="Q204" s="386">
        <f>SUM(Q199:Q203)</f>
        <v>-1221.3688731611587</v>
      </c>
      <c r="R204" s="183"/>
    </row>
    <row r="207" ht="15">
      <c r="K207" s="367"/>
    </row>
  </sheetData>
  <printOptions/>
  <pageMargins left="0.7" right="0.7" top="0.75" bottom="0.75" header="0.3" footer="0.3"/>
  <pageSetup horizontalDpi="600" verticalDpi="600" orientation="portrait" r:id="rId4"/>
  <legacyDrawing r:id="rId2"/>
  <tableParts>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FEBB5-10AA-4F02-9630-0A9DE4D6DDB8}">
  <dimension ref="A1:A1"/>
  <sheetViews>
    <sheetView workbookViewId="0" topLeftCell="A16">
      <selection activeCell="K34" sqref="K34"/>
    </sheetView>
  </sheetViews>
  <sheetFormatPr defaultColWidth="9.140625" defaultRowHeight="15"/>
  <cols>
    <col min="1" max="16384" width="9.140625" style="479" customWidth="1"/>
  </cols>
  <sheetData/>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Held, Brendan</dc:creator>
  <cp:keywords/>
  <dc:description/>
  <cp:lastModifiedBy>Held, Brendan</cp:lastModifiedBy>
  <cp:lastPrinted>2019-02-28T20:01:02Z</cp:lastPrinted>
  <dcterms:created xsi:type="dcterms:W3CDTF">2018-11-20T17:30:12Z</dcterms:created>
  <dcterms:modified xsi:type="dcterms:W3CDTF">2021-04-28T18:49:08Z</dcterms:modified>
  <cp:category/>
  <cp:version/>
  <cp:contentType/>
  <cp:contentStatus/>
</cp:coreProperties>
</file>